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utam.rastogi\Desktop\Valuation\Costco\"/>
    </mc:Choice>
  </mc:AlternateContent>
  <xr:revisionPtr revIDLastSave="0" documentId="13_ncr:1_{4E423E1D-B821-45CA-AFD1-28F3C1106A14}" xr6:coauthVersionLast="44" xr6:coauthVersionMax="44" xr10:uidLastSave="{00000000-0000-0000-0000-000000000000}"/>
  <bookViews>
    <workbookView xWindow="-110" yWindow="-110" windowWidth="19420" windowHeight="10420" tabRatio="891" firstSheet="8" activeTab="8" xr2:uid="{00000000-000D-0000-FFFF-FFFF00000000}"/>
  </bookViews>
  <sheets>
    <sheet name="FORM 10K" sheetId="1" state="hidden" r:id="rId1"/>
    <sheet name="Costco Wholesale Corporation" sheetId="2" state="hidden" r:id="rId2"/>
    <sheet name="TABLE OF CONTENTS" sheetId="5" state="hidden" r:id="rId3"/>
    <sheet name="Membership" sheetId="6" state="hidden" r:id="rId4"/>
    <sheet name="Labor" sheetId="7" state="hidden" r:id="rId5"/>
    <sheet name="Information about our Executive" sheetId="8" state="hidden" r:id="rId6"/>
    <sheet name="Warehouse Properties" sheetId="9" state="hidden" r:id="rId7"/>
    <sheet name="Warehouse Properties (1)" sheetId="13" state="hidden" r:id="rId8"/>
    <sheet name="Cover" sheetId="67" r:id="rId9"/>
    <sheet name="Business" sheetId="63" r:id="rId10"/>
    <sheet name="Projections -&gt;" sheetId="65" r:id="rId11"/>
    <sheet name="Revenue, Cost, WC" sheetId="10" r:id="rId12"/>
    <sheet name="CapEx" sheetId="57" r:id="rId13"/>
    <sheet name="Debt" sheetId="58" r:id="rId14"/>
    <sheet name="Model Fin Stmts -&gt;" sheetId="66" r:id="rId15"/>
    <sheet name="Balance Sheet" sheetId="56" r:id="rId16"/>
    <sheet name="Income Stmt" sheetId="55" r:id="rId17"/>
    <sheet name="Cash Flow - FCFE" sheetId="59" r:id="rId18"/>
    <sheet name="Cash Flow - FCFF" sheetId="64" state="hidden" r:id="rId19"/>
    <sheet name="Beta" sheetId="61" state="hidden" r:id="rId20"/>
    <sheet name="Return" sheetId="62" r:id="rId21"/>
    <sheet name="CONSOLIDATED STATEMENTS OF INCO" sheetId="12" state="hidden" r:id="rId22"/>
    <sheet name="Issuer Purchases of Equity Secu" sheetId="14" state="hidden" r:id="rId23"/>
    <sheet name="RESULTS OF OPERATIONS" sheetId="15" state="hidden" r:id="rId24"/>
    <sheet name="Net Sales" sheetId="16" state="hidden" r:id="rId25"/>
    <sheet name="Membership Fees" sheetId="17" state="hidden" r:id="rId26"/>
    <sheet name="Gross Margin" sheetId="18" state="hidden" r:id="rId27"/>
    <sheet name="Selling General and Administrat" sheetId="19" state="hidden" r:id="rId28"/>
    <sheet name="Preopening" sheetId="20" state="hidden" r:id="rId29"/>
    <sheet name="Interest Income and Other Net" sheetId="21" state="hidden" r:id="rId30"/>
    <sheet name="Provision for Income Taxes" sheetId="22" state="hidden" r:id="rId31"/>
    <sheet name="LIQUIDITY AND CAPITAL RESOURCES" sheetId="23" state="hidden" r:id="rId32"/>
    <sheet name="Contractual Obligations" sheetId="24" state="hidden" r:id="rId33"/>
    <sheet name="CONSOLIDATED STATEMENTS OF COMP" sheetId="25" state="hidden" r:id="rId34"/>
    <sheet name="CONSOLIDATED STATEMENTS OF EQUI" sheetId="26" state="hidden" r:id="rId35"/>
    <sheet name="Cash Flow Stmt" sheetId="27" state="hidden" r:id="rId36"/>
    <sheet name="Merchandise Inventories" sheetId="28" state="hidden" r:id="rId37"/>
    <sheet name="Recent Accounting Pronouncement" sheetId="29" state="hidden" r:id="rId38"/>
    <sheet name="Note 2 Investments" sheetId="30" state="hidden" r:id="rId39"/>
    <sheet name="Note 2 Investments (1)" sheetId="31" state="hidden" r:id="rId40"/>
    <sheet name="Note 2 Investments (2)" sheetId="32" state="hidden" r:id="rId41"/>
    <sheet name="Assets and Liabilities Measured" sheetId="33" state="hidden" r:id="rId42"/>
    <sheet name="Assets and Liabilities Meas (1)" sheetId="34" state="hidden" r:id="rId43"/>
    <sheet name="LongTerm Debt" sheetId="35" state="hidden" r:id="rId44"/>
    <sheet name="LongTerm Debt (1)" sheetId="36" state="hidden" r:id="rId45"/>
    <sheet name="Capital and BuildtoSuit Leases" sheetId="37" state="hidden" r:id="rId46"/>
    <sheet name="Stock Repurchase Programs" sheetId="38" state="hidden" r:id="rId47"/>
    <sheet name="Summary of Restricted Stock Uni" sheetId="39" state="hidden" r:id="rId48"/>
    <sheet name="Summary of StockBased Compensat" sheetId="40" state="hidden" r:id="rId49"/>
    <sheet name="Income Taxes" sheetId="41" state="hidden" r:id="rId50"/>
    <sheet name="Income Taxes (1)" sheetId="42" state="hidden" r:id="rId51"/>
    <sheet name="Income Taxes (2)" sheetId="43" state="hidden" r:id="rId52"/>
    <sheet name="Income Taxes (3)" sheetId="44" state="hidden" r:id="rId53"/>
    <sheet name="Income Taxes (4)" sheetId="45" state="hidden" r:id="rId54"/>
    <sheet name="Note 9 Net Income per Common an" sheetId="46" state="hidden" r:id="rId55"/>
    <sheet name="Note 11 Segment Reporting" sheetId="47" state="hidden" r:id="rId56"/>
    <sheet name="Disaggregated Revenue" sheetId="48" state="hidden" r:id="rId57"/>
    <sheet name="Note 12 Quarterly Financial Dat" sheetId="49" state="hidden" r:id="rId58"/>
    <sheet name="Note 12 Quarterly Financial (1)" sheetId="50" state="hidden" r:id="rId59"/>
    <sheet name="Item 15 Exhibits Financial Stat" sheetId="51" state="hidden" r:id="rId60"/>
    <sheet name="Item 15 Exhibits Financial  (1)" sheetId="52" state="hidden" r:id="rId61"/>
    <sheet name="Item 15 Exhibits Financial  (2)" sheetId="53" state="hidden" r:id="rId62"/>
    <sheet name="SUBSIDIARIES OF THE COMPANY" sheetId="54" state="hidden" r:id="rId63"/>
  </sheets>
  <definedNames>
    <definedName name="_xlnm._FilterDatabase" localSheetId="19" hidden="1">Beta!$A$1:$D$1</definedName>
    <definedName name="solver_typ" localSheetId="13" hidden="1">2</definedName>
    <definedName name="solver_typ" localSheetId="16" hidden="1">2</definedName>
    <definedName name="solver_ver" localSheetId="13" hidden="1">17</definedName>
    <definedName name="solver_ver" localSheetId="16" hidden="1">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6" i="55" l="1"/>
  <c r="C26" i="55"/>
  <c r="D26" i="55"/>
  <c r="E26" i="55"/>
  <c r="F26" i="55"/>
  <c r="I4" i="62"/>
  <c r="D4" i="62"/>
  <c r="G13" i="58"/>
  <c r="M14" i="57"/>
  <c r="N14" i="57"/>
  <c r="O14" i="57"/>
  <c r="P14" i="57"/>
  <c r="D75" i="10"/>
  <c r="B19" i="62"/>
  <c r="B21" i="64"/>
  <c r="F17" i="55"/>
  <c r="G15" i="58"/>
  <c r="I3" i="62"/>
  <c r="G3" i="58"/>
  <c r="F47" i="56"/>
  <c r="F38" i="56"/>
  <c r="G34" i="58"/>
  <c r="F21" i="55"/>
  <c r="F19" i="55"/>
  <c r="H12" i="63"/>
  <c r="H13" i="63"/>
  <c r="H14" i="63"/>
  <c r="H15" i="63"/>
  <c r="H11" i="63"/>
  <c r="B22" i="59"/>
  <c r="O3" i="58"/>
  <c r="L11" i="58"/>
  <c r="F3" i="58"/>
  <c r="M10" i="57"/>
  <c r="N10" i="57"/>
  <c r="O10" i="57"/>
  <c r="P10" i="57"/>
  <c r="F13" i="55"/>
  <c r="T18" i="63"/>
  <c r="C52" i="10"/>
  <c r="C4" i="55"/>
  <c r="G43" i="56"/>
  <c r="F40" i="10"/>
  <c r="D29" i="55"/>
  <c r="G12" i="63"/>
  <c r="B16" i="64"/>
  <c r="B15" i="64"/>
  <c r="B24" i="64"/>
  <c r="R14" i="64"/>
  <c r="B10" i="64"/>
  <c r="B15" i="62"/>
  <c r="B13" i="62"/>
  <c r="B14" i="62"/>
  <c r="C12" i="62"/>
  <c r="C15" i="62"/>
  <c r="B27" i="59"/>
  <c r="F54" i="10"/>
  <c r="F24" i="10"/>
  <c r="C40" i="10"/>
  <c r="T17" i="63"/>
  <c r="T14" i="63"/>
  <c r="S17" i="63"/>
  <c r="S14" i="63"/>
  <c r="R17" i="63"/>
  <c r="R16" i="63"/>
  <c r="S13" i="63"/>
  <c r="C3" i="62"/>
  <c r="C6" i="62"/>
  <c r="B3" i="62"/>
  <c r="C44" i="10"/>
  <c r="C45" i="10"/>
  <c r="D44" i="10"/>
  <c r="D46" i="10"/>
  <c r="E44" i="10"/>
  <c r="E47" i="10"/>
  <c r="F44" i="10"/>
  <c r="F46" i="10"/>
  <c r="F47" i="10"/>
  <c r="D241" i="61"/>
  <c r="T13" i="63"/>
  <c r="R12" i="63"/>
  <c r="R14" i="63"/>
  <c r="R18" i="63"/>
  <c r="R13" i="63"/>
  <c r="R15" i="63"/>
  <c r="S12" i="63"/>
  <c r="S16" i="63"/>
  <c r="T12" i="63"/>
  <c r="S15" i="63"/>
  <c r="T16" i="63"/>
  <c r="S18" i="63"/>
  <c r="T15" i="63"/>
  <c r="C9" i="10"/>
  <c r="C75" i="10"/>
  <c r="O26" i="57"/>
  <c r="O25" i="57"/>
  <c r="O23" i="57"/>
  <c r="M26" i="57"/>
  <c r="F3" i="55"/>
  <c r="F11" i="10"/>
  <c r="F21" i="10"/>
  <c r="G3" i="61"/>
  <c r="E4" i="61"/>
  <c r="E5" i="61"/>
  <c r="E6" i="61"/>
  <c r="E7" i="61"/>
  <c r="E8" i="61"/>
  <c r="E9" i="6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50" i="61"/>
  <c r="E51" i="61"/>
  <c r="E52" i="61"/>
  <c r="E53" i="61"/>
  <c r="E54" i="61"/>
  <c r="E55" i="61"/>
  <c r="E56" i="61"/>
  <c r="E57" i="61"/>
  <c r="E58" i="61"/>
  <c r="E59" i="61"/>
  <c r="E60" i="61"/>
  <c r="E61" i="61"/>
  <c r="E62" i="61"/>
  <c r="E63" i="61"/>
  <c r="E64" i="61"/>
  <c r="E65" i="61"/>
  <c r="E66" i="61"/>
  <c r="E67" i="61"/>
  <c r="E68" i="61"/>
  <c r="E69" i="61"/>
  <c r="E70" i="61"/>
  <c r="E71" i="61"/>
  <c r="E72" i="61"/>
  <c r="E73" i="61"/>
  <c r="E74" i="61"/>
  <c r="E75" i="61"/>
  <c r="E76" i="61"/>
  <c r="E77" i="61"/>
  <c r="E78" i="61"/>
  <c r="E79" i="61"/>
  <c r="E80" i="61"/>
  <c r="E81" i="61"/>
  <c r="E82" i="61"/>
  <c r="E83" i="61"/>
  <c r="E84" i="61"/>
  <c r="E85" i="61"/>
  <c r="E86" i="61"/>
  <c r="E87" i="61"/>
  <c r="E88" i="61"/>
  <c r="E89" i="61"/>
  <c r="E90" i="61"/>
  <c r="E91" i="61"/>
  <c r="E92" i="61"/>
  <c r="E93" i="61"/>
  <c r="E94" i="61"/>
  <c r="E95" i="61"/>
  <c r="E96" i="61"/>
  <c r="E97" i="61"/>
  <c r="E98" i="61"/>
  <c r="E99" i="61"/>
  <c r="E100" i="61"/>
  <c r="E101" i="61"/>
  <c r="E102" i="61"/>
  <c r="E103" i="61"/>
  <c r="E104" i="61"/>
  <c r="E105" i="61"/>
  <c r="E106" i="61"/>
  <c r="E107" i="61"/>
  <c r="E108" i="61"/>
  <c r="E109" i="61"/>
  <c r="E110" i="61"/>
  <c r="E111" i="61"/>
  <c r="E112" i="61"/>
  <c r="E113" i="61"/>
  <c r="E114" i="61"/>
  <c r="E115" i="61"/>
  <c r="E116" i="61"/>
  <c r="E117" i="61"/>
  <c r="E118" i="61"/>
  <c r="E119" i="61"/>
  <c r="E120" i="61"/>
  <c r="E121" i="61"/>
  <c r="E122" i="61"/>
  <c r="E123" i="61"/>
  <c r="E124" i="61"/>
  <c r="E125" i="61"/>
  <c r="E126" i="61"/>
  <c r="E127" i="61"/>
  <c r="E128" i="61"/>
  <c r="E129" i="61"/>
  <c r="E130" i="61"/>
  <c r="E131" i="61"/>
  <c r="E132" i="61"/>
  <c r="E133" i="61"/>
  <c r="E134" i="61"/>
  <c r="E135" i="61"/>
  <c r="E136" i="61"/>
  <c r="E137" i="61"/>
  <c r="E138" i="61"/>
  <c r="E139" i="61"/>
  <c r="E140" i="61"/>
  <c r="E141" i="61"/>
  <c r="E142" i="61"/>
  <c r="E143" i="61"/>
  <c r="E144" i="61"/>
  <c r="E145" i="61"/>
  <c r="E146" i="61"/>
  <c r="E147" i="61"/>
  <c r="E148" i="61"/>
  <c r="E149" i="61"/>
  <c r="E150" i="61"/>
  <c r="E151" i="61"/>
  <c r="E152" i="61"/>
  <c r="E153" i="61"/>
  <c r="E154" i="61"/>
  <c r="E155" i="61"/>
  <c r="E156" i="61"/>
  <c r="E157" i="61"/>
  <c r="E158" i="61"/>
  <c r="E159" i="61"/>
  <c r="E160" i="61"/>
  <c r="E161" i="61"/>
  <c r="E162" i="61"/>
  <c r="E163" i="61"/>
  <c r="E164" i="61"/>
  <c r="E165" i="61"/>
  <c r="E166" i="61"/>
  <c r="E167" i="61"/>
  <c r="E168" i="61"/>
  <c r="E169" i="61"/>
  <c r="E170" i="61"/>
  <c r="E171" i="61"/>
  <c r="E172" i="61"/>
  <c r="E173" i="61"/>
  <c r="E174" i="61"/>
  <c r="E175" i="61"/>
  <c r="E176" i="61"/>
  <c r="E177" i="61"/>
  <c r="E178" i="61"/>
  <c r="E179" i="61"/>
  <c r="E180" i="61"/>
  <c r="E181" i="61"/>
  <c r="E182" i="61"/>
  <c r="E183" i="61"/>
  <c r="E184" i="61"/>
  <c r="E185" i="61"/>
  <c r="E186" i="61"/>
  <c r="E187" i="61"/>
  <c r="E188" i="61"/>
  <c r="E189" i="61"/>
  <c r="E190" i="61"/>
  <c r="E191" i="61"/>
  <c r="E192" i="61"/>
  <c r="E193" i="61"/>
  <c r="E194" i="61"/>
  <c r="E195" i="61"/>
  <c r="E196" i="61"/>
  <c r="E197" i="61"/>
  <c r="E198" i="61"/>
  <c r="E199" i="61"/>
  <c r="E200" i="61"/>
  <c r="E201" i="61"/>
  <c r="E202" i="61"/>
  <c r="E203" i="61"/>
  <c r="E204" i="61"/>
  <c r="E205" i="61"/>
  <c r="E206" i="61"/>
  <c r="E207" i="61"/>
  <c r="E208" i="61"/>
  <c r="E209" i="61"/>
  <c r="E210" i="61"/>
  <c r="E211" i="61"/>
  <c r="E212" i="61"/>
  <c r="E213" i="61"/>
  <c r="E214" i="61"/>
  <c r="E215" i="61"/>
  <c r="E216" i="61"/>
  <c r="E217" i="61"/>
  <c r="E218" i="61"/>
  <c r="E219" i="61"/>
  <c r="E220" i="61"/>
  <c r="E221" i="61"/>
  <c r="E222" i="61"/>
  <c r="E223" i="61"/>
  <c r="E224" i="61"/>
  <c r="E225" i="61"/>
  <c r="E226" i="61"/>
  <c r="E227" i="61"/>
  <c r="E228" i="61"/>
  <c r="E229" i="61"/>
  <c r="E230" i="61"/>
  <c r="E231" i="61"/>
  <c r="E232" i="61"/>
  <c r="E233" i="61"/>
  <c r="E234" i="61"/>
  <c r="E235" i="61"/>
  <c r="E236" i="61"/>
  <c r="E237" i="61"/>
  <c r="E238" i="61"/>
  <c r="E239" i="61"/>
  <c r="E240" i="61"/>
  <c r="E241" i="61"/>
  <c r="E242" i="61"/>
  <c r="E243" i="61"/>
  <c r="E244" i="61"/>
  <c r="E245" i="61"/>
  <c r="E246" i="61"/>
  <c r="E247" i="61"/>
  <c r="E248" i="61"/>
  <c r="E249" i="61"/>
  <c r="E250" i="61"/>
  <c r="E251" i="61"/>
  <c r="E252" i="61"/>
  <c r="E253" i="61"/>
  <c r="E254" i="61"/>
  <c r="E3" i="61"/>
  <c r="D3" i="61"/>
  <c r="D4" i="61"/>
  <c r="D5" i="61"/>
  <c r="D6" i="61"/>
  <c r="D7" i="61"/>
  <c r="D8" i="61"/>
  <c r="D9" i="61"/>
  <c r="D10" i="61"/>
  <c r="D11" i="61"/>
  <c r="D12" i="61"/>
  <c r="D13" i="61"/>
  <c r="D14" i="61"/>
  <c r="D15" i="61"/>
  <c r="D16" i="61"/>
  <c r="D17" i="61"/>
  <c r="D18" i="61"/>
  <c r="D19" i="61"/>
  <c r="D20" i="61"/>
  <c r="D21" i="61"/>
  <c r="D22" i="61"/>
  <c r="D23" i="61"/>
  <c r="D24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7" i="61"/>
  <c r="D38" i="61"/>
  <c r="D39" i="61"/>
  <c r="D40" i="61"/>
  <c r="D41" i="61"/>
  <c r="D42" i="61"/>
  <c r="D43" i="61"/>
  <c r="D44" i="61"/>
  <c r="D45" i="61"/>
  <c r="D46" i="61"/>
  <c r="D47" i="61"/>
  <c r="D48" i="61"/>
  <c r="D49" i="61"/>
  <c r="D50" i="61"/>
  <c r="D51" i="61"/>
  <c r="D52" i="61"/>
  <c r="D53" i="61"/>
  <c r="D54" i="61"/>
  <c r="D55" i="61"/>
  <c r="D56" i="61"/>
  <c r="D57" i="61"/>
  <c r="D58" i="61"/>
  <c r="D59" i="61"/>
  <c r="D60" i="61"/>
  <c r="D61" i="61"/>
  <c r="D62" i="61"/>
  <c r="D63" i="61"/>
  <c r="D64" i="61"/>
  <c r="D65" i="61"/>
  <c r="D66" i="61"/>
  <c r="D67" i="61"/>
  <c r="D68" i="61"/>
  <c r="D69" i="61"/>
  <c r="D70" i="61"/>
  <c r="D71" i="61"/>
  <c r="D72" i="61"/>
  <c r="D73" i="61"/>
  <c r="D74" i="61"/>
  <c r="D75" i="61"/>
  <c r="D76" i="61"/>
  <c r="D77" i="61"/>
  <c r="D78" i="61"/>
  <c r="D79" i="61"/>
  <c r="D80" i="61"/>
  <c r="D81" i="61"/>
  <c r="D82" i="61"/>
  <c r="D83" i="61"/>
  <c r="D84" i="61"/>
  <c r="D85" i="61"/>
  <c r="D86" i="61"/>
  <c r="D87" i="61"/>
  <c r="D88" i="61"/>
  <c r="D89" i="61"/>
  <c r="D90" i="61"/>
  <c r="D91" i="61"/>
  <c r="D92" i="61"/>
  <c r="D93" i="61"/>
  <c r="D94" i="61"/>
  <c r="D95" i="61"/>
  <c r="D96" i="61"/>
  <c r="D97" i="61"/>
  <c r="D98" i="61"/>
  <c r="D99" i="61"/>
  <c r="D100" i="61"/>
  <c r="D101" i="61"/>
  <c r="D102" i="61"/>
  <c r="D103" i="61"/>
  <c r="D104" i="61"/>
  <c r="D105" i="61"/>
  <c r="D106" i="61"/>
  <c r="D107" i="61"/>
  <c r="D108" i="61"/>
  <c r="D109" i="61"/>
  <c r="D110" i="61"/>
  <c r="D111" i="61"/>
  <c r="D112" i="61"/>
  <c r="D113" i="61"/>
  <c r="D114" i="61"/>
  <c r="D115" i="61"/>
  <c r="D116" i="61"/>
  <c r="D117" i="61"/>
  <c r="D118" i="61"/>
  <c r="D119" i="61"/>
  <c r="D120" i="61"/>
  <c r="D121" i="61"/>
  <c r="D122" i="61"/>
  <c r="D123" i="61"/>
  <c r="D124" i="61"/>
  <c r="D125" i="61"/>
  <c r="D126" i="61"/>
  <c r="D127" i="61"/>
  <c r="D128" i="61"/>
  <c r="D129" i="61"/>
  <c r="D130" i="61"/>
  <c r="D131" i="61"/>
  <c r="D132" i="61"/>
  <c r="D133" i="61"/>
  <c r="D134" i="61"/>
  <c r="D135" i="61"/>
  <c r="D136" i="61"/>
  <c r="D137" i="61"/>
  <c r="D138" i="61"/>
  <c r="D139" i="61"/>
  <c r="D140" i="61"/>
  <c r="D141" i="61"/>
  <c r="D142" i="61"/>
  <c r="D143" i="61"/>
  <c r="D144" i="61"/>
  <c r="D145" i="61"/>
  <c r="D146" i="61"/>
  <c r="D147" i="61"/>
  <c r="D148" i="61"/>
  <c r="D149" i="61"/>
  <c r="D150" i="61"/>
  <c r="D151" i="61"/>
  <c r="D152" i="61"/>
  <c r="D153" i="61"/>
  <c r="D154" i="61"/>
  <c r="D155" i="61"/>
  <c r="D156" i="61"/>
  <c r="D157" i="61"/>
  <c r="D158" i="61"/>
  <c r="D159" i="61"/>
  <c r="D160" i="61"/>
  <c r="D161" i="61"/>
  <c r="D162" i="61"/>
  <c r="D163" i="61"/>
  <c r="D164" i="61"/>
  <c r="D165" i="61"/>
  <c r="D166" i="61"/>
  <c r="D167" i="61"/>
  <c r="D168" i="61"/>
  <c r="D169" i="61"/>
  <c r="D170" i="61"/>
  <c r="D171" i="61"/>
  <c r="D172" i="61"/>
  <c r="D173" i="61"/>
  <c r="D174" i="61"/>
  <c r="D175" i="61"/>
  <c r="D176" i="61"/>
  <c r="D177" i="61"/>
  <c r="D178" i="61"/>
  <c r="D179" i="61"/>
  <c r="D180" i="61"/>
  <c r="D181" i="61"/>
  <c r="D182" i="61"/>
  <c r="D183" i="61"/>
  <c r="D184" i="61"/>
  <c r="D185" i="61"/>
  <c r="D186" i="61"/>
  <c r="D187" i="61"/>
  <c r="D188" i="61"/>
  <c r="D189" i="61"/>
  <c r="D190" i="61"/>
  <c r="D191" i="61"/>
  <c r="D192" i="61"/>
  <c r="D193" i="61"/>
  <c r="D194" i="61"/>
  <c r="D195" i="61"/>
  <c r="D196" i="61"/>
  <c r="D197" i="61"/>
  <c r="D198" i="61"/>
  <c r="D199" i="61"/>
  <c r="D200" i="61"/>
  <c r="D201" i="61"/>
  <c r="D202" i="61"/>
  <c r="D203" i="61"/>
  <c r="D204" i="61"/>
  <c r="D205" i="61"/>
  <c r="D206" i="61"/>
  <c r="D207" i="61"/>
  <c r="D208" i="61"/>
  <c r="D209" i="61"/>
  <c r="D210" i="61"/>
  <c r="D211" i="61"/>
  <c r="D212" i="61"/>
  <c r="D213" i="61"/>
  <c r="D214" i="61"/>
  <c r="D215" i="61"/>
  <c r="D216" i="61"/>
  <c r="D217" i="61"/>
  <c r="D218" i="61"/>
  <c r="D219" i="61"/>
  <c r="D220" i="61"/>
  <c r="D221" i="61"/>
  <c r="D222" i="61"/>
  <c r="D223" i="61"/>
  <c r="D224" i="61"/>
  <c r="D225" i="61"/>
  <c r="D226" i="61"/>
  <c r="D227" i="61"/>
  <c r="D228" i="61"/>
  <c r="D229" i="61"/>
  <c r="D230" i="61"/>
  <c r="D231" i="61"/>
  <c r="D232" i="61"/>
  <c r="D233" i="61"/>
  <c r="D234" i="61"/>
  <c r="D235" i="61"/>
  <c r="D236" i="61"/>
  <c r="D237" i="61"/>
  <c r="D238" i="61"/>
  <c r="D239" i="61"/>
  <c r="D240" i="61"/>
  <c r="D242" i="61"/>
  <c r="D243" i="61"/>
  <c r="D244" i="61"/>
  <c r="D245" i="61"/>
  <c r="D246" i="61"/>
  <c r="D247" i="61"/>
  <c r="D248" i="61"/>
  <c r="D249" i="61"/>
  <c r="D250" i="61"/>
  <c r="D251" i="61"/>
  <c r="D252" i="61"/>
  <c r="D253" i="61"/>
  <c r="D254" i="61"/>
  <c r="F61" i="10"/>
  <c r="E3" i="55"/>
  <c r="F79" i="10"/>
  <c r="Q8" i="57"/>
  <c r="N13" i="12"/>
  <c r="O13" i="12"/>
  <c r="D15" i="12"/>
  <c r="H15" i="12"/>
  <c r="I15" i="12"/>
  <c r="L15" i="12"/>
  <c r="N15" i="12"/>
  <c r="D16" i="12"/>
  <c r="E16" i="12"/>
  <c r="H16" i="12"/>
  <c r="I16" i="12"/>
  <c r="L16" i="12"/>
  <c r="E19" i="12"/>
  <c r="I19" i="12"/>
  <c r="L19" i="12"/>
  <c r="E20" i="12"/>
  <c r="I20" i="12"/>
  <c r="L20" i="12"/>
  <c r="Q20" i="12"/>
  <c r="R20" i="12"/>
  <c r="S20" i="12"/>
  <c r="T20" i="12"/>
  <c r="U20" i="12"/>
  <c r="V20" i="12"/>
  <c r="W20" i="12"/>
  <c r="X20" i="12"/>
  <c r="D21" i="12"/>
  <c r="E21" i="12"/>
  <c r="I21" i="12"/>
  <c r="L21" i="12"/>
  <c r="D22" i="12"/>
  <c r="E22" i="12"/>
  <c r="I22" i="12"/>
  <c r="L22" i="12"/>
  <c r="Q22" i="12"/>
  <c r="R22" i="12"/>
  <c r="S22" i="12"/>
  <c r="T22" i="12"/>
  <c r="U22" i="12"/>
  <c r="V22" i="12"/>
  <c r="W22" i="12"/>
  <c r="X22" i="12"/>
  <c r="E24" i="12"/>
  <c r="I24" i="12"/>
  <c r="L24" i="12"/>
  <c r="E25" i="12"/>
  <c r="I25" i="12"/>
  <c r="L25" i="12"/>
  <c r="I26" i="12"/>
  <c r="L26" i="12"/>
  <c r="E27" i="12"/>
  <c r="I27" i="12"/>
  <c r="L27" i="12"/>
  <c r="E28" i="12"/>
  <c r="I28" i="12"/>
  <c r="L28" i="12"/>
  <c r="E29" i="12"/>
  <c r="I29" i="12"/>
  <c r="L29" i="12"/>
  <c r="D31" i="12"/>
  <c r="E31" i="12"/>
  <c r="H31" i="12"/>
  <c r="I31" i="12"/>
  <c r="L31" i="12"/>
  <c r="B40" i="12"/>
  <c r="B41" i="12"/>
  <c r="D6" i="55"/>
  <c r="D13" i="55"/>
  <c r="D23" i="55"/>
  <c r="E6" i="55"/>
  <c r="E29" i="55"/>
  <c r="F6" i="55"/>
  <c r="F29" i="55"/>
  <c r="N6" i="55"/>
  <c r="N13" i="55"/>
  <c r="N17" i="55"/>
  <c r="C10" i="56"/>
  <c r="D10" i="56"/>
  <c r="E10" i="56"/>
  <c r="F10" i="56"/>
  <c r="C17" i="56"/>
  <c r="C8" i="57"/>
  <c r="D17" i="56"/>
  <c r="D8" i="57"/>
  <c r="E17" i="56"/>
  <c r="F17" i="56"/>
  <c r="F8" i="57"/>
  <c r="C19" i="56"/>
  <c r="C23" i="56"/>
  <c r="D19" i="56"/>
  <c r="D23" i="56"/>
  <c r="E19" i="56"/>
  <c r="E23" i="56"/>
  <c r="F19" i="56"/>
  <c r="C33" i="56"/>
  <c r="C38" i="56"/>
  <c r="C47" i="56"/>
  <c r="C49" i="56"/>
  <c r="D33" i="56"/>
  <c r="D38" i="56"/>
  <c r="D47" i="56"/>
  <c r="D49" i="56"/>
  <c r="E33" i="56"/>
  <c r="E38" i="56"/>
  <c r="E47" i="56"/>
  <c r="E49" i="56"/>
  <c r="F33" i="56"/>
  <c r="C43" i="56"/>
  <c r="C45" i="56"/>
  <c r="D43" i="56"/>
  <c r="E43" i="56"/>
  <c r="E45" i="56"/>
  <c r="F43" i="56"/>
  <c r="G46" i="56"/>
  <c r="D45" i="56"/>
  <c r="F45" i="56"/>
  <c r="F40" i="12"/>
  <c r="F41" i="12"/>
  <c r="C3" i="58"/>
  <c r="D3" i="58"/>
  <c r="E3" i="58"/>
  <c r="C4" i="58"/>
  <c r="C7" i="58"/>
  <c r="D4" i="58"/>
  <c r="D7" i="58"/>
  <c r="E4" i="58"/>
  <c r="F4" i="58"/>
  <c r="F7" i="58"/>
  <c r="D8" i="58"/>
  <c r="E8" i="58"/>
  <c r="F8" i="58"/>
  <c r="G17" i="58"/>
  <c r="C4" i="57"/>
  <c r="D4" i="57"/>
  <c r="E4" i="57"/>
  <c r="F4" i="57"/>
  <c r="C5" i="57"/>
  <c r="D5" i="57"/>
  <c r="E5" i="57"/>
  <c r="F5" i="57"/>
  <c r="C6" i="57"/>
  <c r="D6" i="57"/>
  <c r="E6" i="57"/>
  <c r="F6" i="57"/>
  <c r="C7" i="57"/>
  <c r="D7" i="57"/>
  <c r="E7" i="57"/>
  <c r="F7" i="57"/>
  <c r="E8" i="57"/>
  <c r="C9" i="57"/>
  <c r="D9" i="57"/>
  <c r="E9" i="57"/>
  <c r="F9" i="57"/>
  <c r="E10" i="57"/>
  <c r="D16" i="57"/>
  <c r="D17" i="57"/>
  <c r="E16" i="57"/>
  <c r="F16" i="57"/>
  <c r="D5" i="10"/>
  <c r="E5" i="10"/>
  <c r="F5" i="10"/>
  <c r="F45" i="10"/>
  <c r="E8" i="10"/>
  <c r="C11" i="10"/>
  <c r="D11" i="10"/>
  <c r="D15" i="10"/>
  <c r="D14" i="57"/>
  <c r="E11" i="10"/>
  <c r="E21" i="10"/>
  <c r="D34" i="10"/>
  <c r="E34" i="10"/>
  <c r="F34" i="10"/>
  <c r="D35" i="10"/>
  <c r="E35" i="10"/>
  <c r="F35" i="10"/>
  <c r="D36" i="10"/>
  <c r="E36" i="10"/>
  <c r="F36" i="10"/>
  <c r="D37" i="10"/>
  <c r="E37" i="10"/>
  <c r="F37" i="10"/>
  <c r="D40" i="10"/>
  <c r="D41" i="10"/>
  <c r="E40" i="10"/>
  <c r="D52" i="10"/>
  <c r="D21" i="10"/>
  <c r="E54" i="10"/>
  <c r="E24" i="10"/>
  <c r="E61" i="10"/>
  <c r="D65" i="10"/>
  <c r="D64" i="10"/>
  <c r="E65" i="10"/>
  <c r="E64" i="10"/>
  <c r="F65" i="10"/>
  <c r="F64" i="10"/>
  <c r="D68" i="10"/>
  <c r="E68" i="10"/>
  <c r="E67" i="10"/>
  <c r="F68" i="10"/>
  <c r="F67" i="10"/>
  <c r="D72" i="10"/>
  <c r="E72" i="10"/>
  <c r="F72" i="10"/>
  <c r="F73" i="10"/>
  <c r="C73" i="10"/>
  <c r="C79" i="10"/>
  <c r="D79" i="10"/>
  <c r="E79" i="10"/>
  <c r="C83" i="10"/>
  <c r="D83" i="10"/>
  <c r="E83" i="10"/>
  <c r="F83" i="10"/>
  <c r="C84" i="10"/>
  <c r="D84" i="10"/>
  <c r="E84" i="10"/>
  <c r="F84" i="10"/>
  <c r="C85" i="10"/>
  <c r="C90" i="10"/>
  <c r="D85" i="10"/>
  <c r="E85" i="10"/>
  <c r="F85" i="10"/>
  <c r="F90" i="10"/>
  <c r="F117" i="10"/>
  <c r="C86" i="10"/>
  <c r="C91" i="10"/>
  <c r="D86" i="10"/>
  <c r="D92" i="10"/>
  <c r="E86" i="10"/>
  <c r="E91" i="10"/>
  <c r="E92" i="10"/>
  <c r="F86" i="10"/>
  <c r="F91" i="10"/>
  <c r="C87" i="10"/>
  <c r="C93" i="10"/>
  <c r="D87" i="10"/>
  <c r="D93" i="10"/>
  <c r="E87" i="10"/>
  <c r="E93" i="10"/>
  <c r="F87" i="10"/>
  <c r="F93" i="10"/>
  <c r="C96" i="10"/>
  <c r="D96" i="10"/>
  <c r="D104" i="10"/>
  <c r="E96" i="10"/>
  <c r="E104" i="10"/>
  <c r="F96" i="10"/>
  <c r="C97" i="10"/>
  <c r="D97" i="10"/>
  <c r="D105" i="10"/>
  <c r="E97" i="10"/>
  <c r="E105" i="10"/>
  <c r="F97" i="10"/>
  <c r="F105" i="10"/>
  <c r="C98" i="10"/>
  <c r="D98" i="10"/>
  <c r="D106" i="10"/>
  <c r="E98" i="10"/>
  <c r="E106" i="10"/>
  <c r="F98" i="10"/>
  <c r="F102" i="10"/>
  <c r="F106" i="10"/>
  <c r="C99" i="10"/>
  <c r="D99" i="10"/>
  <c r="D107" i="10"/>
  <c r="E99" i="10"/>
  <c r="E107" i="10"/>
  <c r="F99" i="10"/>
  <c r="F107" i="10"/>
  <c r="C101" i="10"/>
  <c r="D101" i="10"/>
  <c r="D108" i="10"/>
  <c r="E101" i="10"/>
  <c r="E108" i="10"/>
  <c r="F101" i="10"/>
  <c r="F108" i="10"/>
  <c r="E114" i="10"/>
  <c r="E115" i="10"/>
  <c r="F114" i="10"/>
  <c r="F115" i="10"/>
  <c r="B5" i="62"/>
  <c r="E57" i="10"/>
  <c r="E17" i="57"/>
  <c r="D10" i="57"/>
  <c r="F23" i="56"/>
  <c r="F49" i="56"/>
  <c r="C10" i="57"/>
  <c r="F10" i="57"/>
  <c r="F17" i="57"/>
  <c r="N19" i="55"/>
  <c r="N21" i="55"/>
  <c r="Q10" i="57"/>
  <c r="D17" i="55"/>
  <c r="D19" i="55"/>
  <c r="D21" i="55"/>
  <c r="D57" i="10"/>
  <c r="E7" i="58"/>
  <c r="E13" i="55"/>
  <c r="F57" i="10"/>
  <c r="F58" i="10"/>
  <c r="C46" i="10"/>
  <c r="G28" i="58"/>
  <c r="G33" i="58"/>
  <c r="E23" i="55"/>
  <c r="E17" i="55"/>
  <c r="E19" i="55"/>
  <c r="E21" i="55"/>
  <c r="E30" i="55"/>
  <c r="F23" i="55"/>
  <c r="F30" i="55"/>
  <c r="B6" i="62"/>
  <c r="B4" i="62"/>
  <c r="F32" i="55"/>
  <c r="F33" i="55"/>
  <c r="E22" i="10"/>
  <c r="D90" i="10"/>
  <c r="D117" i="10"/>
  <c r="D67" i="10"/>
  <c r="F41" i="10"/>
  <c r="E58" i="10"/>
  <c r="D115" i="10"/>
  <c r="D30" i="55"/>
  <c r="D61" i="10"/>
  <c r="D54" i="10"/>
  <c r="D19" i="10"/>
  <c r="C17" i="10"/>
  <c r="E15" i="10"/>
  <c r="E14" i="57"/>
  <c r="E45" i="10"/>
  <c r="F22" i="10"/>
  <c r="E46" i="10"/>
  <c r="D73" i="10"/>
  <c r="F15" i="10"/>
  <c r="F14" i="57"/>
  <c r="F38" i="10"/>
  <c r="G8" i="10"/>
  <c r="E9" i="10"/>
  <c r="E75" i="10"/>
  <c r="F92" i="10"/>
  <c r="E73" i="10"/>
  <c r="F88" i="10"/>
  <c r="F110" i="10"/>
  <c r="F111" i="10"/>
  <c r="E88" i="10"/>
  <c r="E110" i="10"/>
  <c r="B8" i="62"/>
  <c r="B9" i="62"/>
  <c r="E17" i="10"/>
  <c r="E102" i="10"/>
  <c r="E90" i="10"/>
  <c r="D102" i="10"/>
  <c r="D91" i="10"/>
  <c r="D17" i="10"/>
  <c r="D18" i="10"/>
  <c r="F104" i="10"/>
  <c r="I7" i="62"/>
  <c r="D8" i="62"/>
  <c r="K10" i="62"/>
  <c r="K11" i="62"/>
  <c r="D24" i="10"/>
  <c r="E18" i="10"/>
  <c r="B4" i="64"/>
  <c r="C4" i="64"/>
  <c r="D4" i="64"/>
  <c r="E4" i="64"/>
  <c r="F4" i="64"/>
  <c r="G4" i="64"/>
  <c r="C5" i="64"/>
  <c r="B5" i="64"/>
  <c r="D5" i="62"/>
  <c r="D5" i="64"/>
  <c r="B7" i="64"/>
  <c r="B6" i="64"/>
  <c r="B9" i="64"/>
  <c r="E5" i="64"/>
  <c r="C7" i="64"/>
  <c r="C6" i="64"/>
  <c r="C9" i="64"/>
  <c r="F5" i="64"/>
  <c r="D6" i="62"/>
  <c r="D6" i="64"/>
  <c r="D7" i="64"/>
  <c r="G5" i="64"/>
  <c r="B11" i="64"/>
  <c r="E6" i="64"/>
  <c r="E7" i="64"/>
  <c r="B17" i="64"/>
  <c r="F6" i="64"/>
  <c r="C10" i="64"/>
  <c r="B22" i="64"/>
  <c r="C11" i="64"/>
  <c r="F7" i="64"/>
  <c r="D10" i="64"/>
  <c r="G6" i="64"/>
  <c r="D11" i="64"/>
  <c r="G49" i="56"/>
  <c r="H49" i="56"/>
  <c r="G7" i="64"/>
  <c r="G9" i="64"/>
  <c r="E11" i="64"/>
  <c r="I6" i="62"/>
  <c r="E10" i="64"/>
  <c r="I49" i="56"/>
  <c r="F11" i="64"/>
  <c r="G11" i="64"/>
  <c r="J49" i="56"/>
  <c r="F10" i="64"/>
  <c r="G10" i="64"/>
  <c r="K49" i="56"/>
  <c r="L49" i="56"/>
  <c r="D3" i="62"/>
  <c r="D7" i="62"/>
  <c r="D3" i="55"/>
  <c r="C5" i="55"/>
  <c r="C6" i="55"/>
  <c r="F48" i="10"/>
  <c r="E117" i="10"/>
  <c r="C108" i="10"/>
  <c r="F9" i="64"/>
  <c r="C88" i="10"/>
  <c r="C62" i="10"/>
  <c r="C21" i="10"/>
  <c r="D22" i="10"/>
  <c r="E41" i="10"/>
  <c r="D38" i="10"/>
  <c r="E38" i="10"/>
  <c r="F19" i="10"/>
  <c r="C102" i="10"/>
  <c r="C65" i="10"/>
  <c r="C47" i="10"/>
  <c r="E19" i="10"/>
  <c r="E20" i="10"/>
  <c r="D9" i="64"/>
  <c r="F17" i="10"/>
  <c r="F18" i="10"/>
  <c r="F9" i="10"/>
  <c r="F75" i="10"/>
  <c r="D45" i="10"/>
  <c r="D88" i="10"/>
  <c r="D110" i="10"/>
  <c r="C54" i="10"/>
  <c r="C24" i="10"/>
  <c r="D47" i="10"/>
  <c r="D48" i="10"/>
  <c r="E111" i="10"/>
  <c r="G19" i="58"/>
  <c r="G30" i="58"/>
  <c r="G31" i="58"/>
  <c r="G32" i="58"/>
  <c r="G16" i="58"/>
  <c r="C19" i="64"/>
  <c r="B20" i="64"/>
  <c r="B23" i="64"/>
  <c r="B25" i="64"/>
  <c r="C12" i="64"/>
  <c r="F12" i="64"/>
  <c r="D14" i="64"/>
  <c r="D19" i="64"/>
  <c r="C8" i="64"/>
  <c r="B12" i="64"/>
  <c r="G14" i="64"/>
  <c r="H14" i="64"/>
  <c r="I14" i="64"/>
  <c r="J14" i="64"/>
  <c r="K14" i="64"/>
  <c r="L14" i="64"/>
  <c r="M14" i="64"/>
  <c r="N14" i="64"/>
  <c r="O14" i="64"/>
  <c r="P14" i="64"/>
  <c r="Q14" i="64"/>
  <c r="E9" i="64"/>
  <c r="F8" i="64"/>
  <c r="G19" i="64"/>
  <c r="E12" i="64"/>
  <c r="E19" i="64"/>
  <c r="H9" i="64"/>
  <c r="D12" i="64"/>
  <c r="F19" i="64"/>
  <c r="G8" i="64"/>
  <c r="D8" i="64"/>
  <c r="G12" i="64"/>
  <c r="E48" i="10"/>
  <c r="E14" i="64"/>
  <c r="E8" i="64"/>
  <c r="C68" i="10"/>
  <c r="C64" i="10"/>
  <c r="C9" i="55"/>
  <c r="C19" i="10"/>
  <c r="D20" i="10"/>
  <c r="C105" i="10"/>
  <c r="C92" i="10"/>
  <c r="C106" i="10"/>
  <c r="C61" i="10"/>
  <c r="C107" i="10"/>
  <c r="C104" i="10"/>
  <c r="C57" i="10"/>
  <c r="C13" i="55"/>
  <c r="F14" i="64"/>
  <c r="C110" i="10"/>
  <c r="D111" i="10"/>
  <c r="C29" i="55"/>
  <c r="F20" i="10"/>
  <c r="G20" i="58"/>
  <c r="G18" i="58"/>
  <c r="G8" i="58"/>
  <c r="H8" i="64"/>
  <c r="I9" i="64"/>
  <c r="H19" i="64"/>
  <c r="C10" i="55"/>
  <c r="C67" i="10"/>
  <c r="C17" i="55"/>
  <c r="C19" i="55"/>
  <c r="C21" i="55"/>
  <c r="C23" i="55"/>
  <c r="D58" i="10"/>
  <c r="C58" i="10"/>
  <c r="C3" i="55"/>
  <c r="C117" i="10"/>
  <c r="I8" i="64"/>
  <c r="J9" i="64"/>
  <c r="I19" i="64"/>
  <c r="C115" i="10"/>
  <c r="C30" i="55"/>
  <c r="K9" i="64"/>
  <c r="J19" i="64"/>
  <c r="J8" i="64"/>
  <c r="L9" i="64"/>
  <c r="K19" i="64"/>
  <c r="K8" i="64"/>
  <c r="L8" i="64"/>
  <c r="L19" i="64"/>
  <c r="M9" i="64"/>
  <c r="N9" i="64"/>
  <c r="M19" i="64"/>
  <c r="M8" i="64"/>
  <c r="N8" i="64"/>
  <c r="N19" i="64"/>
  <c r="O9" i="64"/>
  <c r="O19" i="64"/>
  <c r="O8" i="64"/>
  <c r="P9" i="64"/>
  <c r="P19" i="64"/>
  <c r="Q9" i="64"/>
  <c r="P8" i="64"/>
  <c r="Q8" i="64"/>
  <c r="Q19" i="64"/>
  <c r="R9" i="64"/>
  <c r="R19" i="6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Rastogi, Gautam</author>
  </authors>
  <commentList>
    <comment ref="G42" authorId="0" shapeId="0" xr:uid="{00000000-0006-0000-0B00-000001000000}">
      <text>
        <r>
          <rPr>
            <sz val="9"/>
            <color indexed="81"/>
            <rFont val="Tahoma"/>
            <family val="2"/>
          </rPr>
          <t xml:space="preserve">36 months - Mem revenue
</t>
        </r>
      </text>
    </comment>
    <comment ref="G53" authorId="0" shapeId="0" xr:uid="{00000000-0006-0000-0B00-000002000000}">
      <text>
        <r>
          <rPr>
            <sz val="9"/>
            <color indexed="81"/>
            <rFont val="Tahoma"/>
            <family val="2"/>
          </rPr>
          <t>36 months - Net Sales</t>
        </r>
      </text>
    </comment>
    <comment ref="G63" authorId="0" shapeId="0" xr:uid="{00000000-0006-0000-0B00-000003000000}">
      <text>
        <r>
          <rPr>
            <sz val="9"/>
            <color indexed="81"/>
            <rFont val="Tahoma"/>
            <family val="2"/>
          </rPr>
          <t xml:space="preserve">36 months
</t>
        </r>
      </text>
    </comment>
    <comment ref="G66" authorId="0" shapeId="0" xr:uid="{00000000-0006-0000-0B00-000004000000}">
      <text>
        <r>
          <rPr>
            <sz val="9"/>
            <color indexed="81"/>
            <rFont val="Tahoma"/>
            <family val="2"/>
          </rPr>
          <t>36 months</t>
        </r>
      </text>
    </comment>
    <comment ref="G77" authorId="0" shapeId="0" xr:uid="{00000000-0006-0000-0B00-000005000000}">
      <text>
        <r>
          <rPr>
            <sz val="9"/>
            <color indexed="81"/>
            <rFont val="Tahoma"/>
            <family val="2"/>
          </rPr>
          <t>36 months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Rastogi, Gautam</author>
  </authors>
  <commentList>
    <comment ref="D7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Fair Value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<sst xmlns="http://schemas.openxmlformats.org/spreadsheetml/2006/main" count="6185" uniqueCount="888">
  <si>
    <t>COSTCO WHOLESALE CORP /NEW</t>
  </si>
  <si>
    <t>10-K</t>
  </si>
  <si>
    <t>10/11/2019</t>
  </si>
  <si>
    <t/>
  </si>
  <si>
    <t>FORM 10-K</t>
  </si>
  <si>
    <t>?</t>
  </si>
  <si>
    <t>ANNUAL REPORT PURSUANT TO SECTION 13 OR</t>
  </si>
  <si>
    <t>15(d) OF THE SECURITIES EXCHANGE ACT OF</t>
  </si>
  <si>
    <t>____________________________</t>
  </si>
  <si>
    <t>Created by Morningstar Document Research.</t>
  </si>
  <si>
    <t>http://documentresearch.morningstar.com/</t>
  </si>
  <si>
    <t>Costco Wholesale Corporation</t>
  </si>
  <si>
    <t>Washington</t>
  </si>
  <si>
    <t>91-1223280</t>
  </si>
  <si>
    <t>(State or other jurisdiction of</t>
  </si>
  <si>
    <t>(I.R.S. Employer Identification No.)</t>
  </si>
  <si>
    <t>incorporation or organization)</t>
  </si>
  <si>
    <t>COST</t>
  </si>
  <si>
    <t>TABLE OF CONTENTS</t>
  </si>
  <si>
    <t>Page</t>
  </si>
  <si>
    <t>PART I</t>
  </si>
  <si>
    <t>Item 1.</t>
  </si>
  <si>
    <t>Business</t>
  </si>
  <si>
    <t>Item 1A.</t>
  </si>
  <si>
    <t>Risk Factors</t>
  </si>
  <si>
    <t>Item 1B.</t>
  </si>
  <si>
    <t>Unresolved Staff Comments</t>
  </si>
  <si>
    <t>Item 2.</t>
  </si>
  <si>
    <t>Properties</t>
  </si>
  <si>
    <t>Item 3.</t>
  </si>
  <si>
    <t>Legal Proceedings</t>
  </si>
  <si>
    <t>Item 4.</t>
  </si>
  <si>
    <t>Mine Safety Disclosures</t>
  </si>
  <si>
    <t>PART II</t>
  </si>
  <si>
    <t>Item 5.</t>
  </si>
  <si>
    <t>Market for Registrant?s Common Equity,</t>
  </si>
  <si>
    <t>Related Stockholder Matters and Issuer</t>
  </si>
  <si>
    <t>Purchases of Equity Securities</t>
  </si>
  <si>
    <t>Item 6.</t>
  </si>
  <si>
    <t>Selected Financial Data</t>
  </si>
  <si>
    <t>Item 7.</t>
  </si>
  <si>
    <t>Management?s Discussion and Analysis</t>
  </si>
  <si>
    <t>of Financial Condition and Results of Operations</t>
  </si>
  <si>
    <t>Item 7A.</t>
  </si>
  <si>
    <t>Quantitative and Qualitative Disclosures</t>
  </si>
  <si>
    <t>About Market Risk</t>
  </si>
  <si>
    <t>Item 8.</t>
  </si>
  <si>
    <t>Financial Statements and Supplementary</t>
  </si>
  <si>
    <t>Data</t>
  </si>
  <si>
    <t>Item 9.</t>
  </si>
  <si>
    <t>Changes in and Disagreements with Accountants</t>
  </si>
  <si>
    <t>on Accounting and Financial Disclosure</t>
  </si>
  <si>
    <t>Item 9A.</t>
  </si>
  <si>
    <t>Controls and Procedures</t>
  </si>
  <si>
    <t>Item 9B.</t>
  </si>
  <si>
    <t>Other Information</t>
  </si>
  <si>
    <t>PART III</t>
  </si>
  <si>
    <t>Item 10.</t>
  </si>
  <si>
    <t>Directors, Executive Officers and Corporate</t>
  </si>
  <si>
    <t>Governance</t>
  </si>
  <si>
    <t>Item 11.</t>
  </si>
  <si>
    <t>Executive Compensation</t>
  </si>
  <si>
    <t>Item 12.</t>
  </si>
  <si>
    <t>Security Ownership of Certain Beneficial</t>
  </si>
  <si>
    <t>Owners and Management and Related Stockholder</t>
  </si>
  <si>
    <t>Matters</t>
  </si>
  <si>
    <t>Item 13.</t>
  </si>
  <si>
    <t>Certain Relationships and Related Transactions,</t>
  </si>
  <si>
    <t>and Director Independence</t>
  </si>
  <si>
    <t>Item 14.</t>
  </si>
  <si>
    <t>Principal Accounting Fees and Services</t>
  </si>
  <si>
    <t>PART IV</t>
  </si>
  <si>
    <t>Item 15.</t>
  </si>
  <si>
    <t>Exhibits, Financial Statement Schedules</t>
  </si>
  <si>
    <t>Item 16.</t>
  </si>
  <si>
    <t>Form 10-K Summary</t>
  </si>
  <si>
    <t>Signatures</t>
  </si>
  <si>
    <t>Membership</t>
  </si>
  <si>
    <t>Gold Star</t>
  </si>
  <si>
    <t>Business, including affiliates</t>
  </si>
  <si>
    <t>Total paid members</t>
  </si>
  <si>
    <t>Household cards</t>
  </si>
  <si>
    <t xml:space="preserve">     Total cardholders</t>
  </si>
  <si>
    <t>Labor</t>
  </si>
  <si>
    <t>Full-time employees</t>
  </si>
  <si>
    <t>Part-time employees</t>
  </si>
  <si>
    <t>Total employees</t>
  </si>
  <si>
    <t>Information about our Executive Officers</t>
  </si>
  <si>
    <t>Name</t>
  </si>
  <si>
    <t>Position</t>
  </si>
  <si>
    <t>Executive</t>
  </si>
  <si>
    <t>Age</t>
  </si>
  <si>
    <t>Officer</t>
  </si>
  <si>
    <t>Since</t>
  </si>
  <si>
    <t>W. Craig Jelinek</t>
  </si>
  <si>
    <t>President and Chief Executive Officer.</t>
  </si>
  <si>
    <t>Mr. Jelinek has been President and Chief</t>
  </si>
  <si>
    <t>Executive Officer since January 2012 and</t>
  </si>
  <si>
    <t>a director since February 2010. He was President</t>
  </si>
  <si>
    <t>and Chief Operating Officer from February</t>
  </si>
  <si>
    <t>2010 to December 2011. Prior to that he was</t>
  </si>
  <si>
    <t>Executive Vice President, Chief Operating</t>
  </si>
  <si>
    <t>Officer, Merchandising since 2004.</t>
  </si>
  <si>
    <t>Richard A. Galanti</t>
  </si>
  <si>
    <t>Executive Vice President and Chief Financial</t>
  </si>
  <si>
    <t>Officer. Mr. Galanti has been a director</t>
  </si>
  <si>
    <t>since January 1995.</t>
  </si>
  <si>
    <t>Jim C. Klauer</t>
  </si>
  <si>
    <t>Officer, Northern Division. Mr. Klauer</t>
  </si>
  <si>
    <t>was Senior Vice President, Non Foods and</t>
  </si>
  <si>
    <t>E-commerce merchandise, from 2013 to January</t>
  </si>
  <si>
    <t>Patrick J. Callans</t>
  </si>
  <si>
    <t>Executive Vice President, Administration.</t>
  </si>
  <si>
    <t>Mr. Callans was Senior Vice President,</t>
  </si>
  <si>
    <t>Human Resources and Risk Management, from</t>
  </si>
  <si>
    <t>2013 to December 2018.</t>
  </si>
  <si>
    <t>Russ D. Miller</t>
  </si>
  <si>
    <t>Officer, Southern Division and Mexico.</t>
  </si>
  <si>
    <t>Mr. Miller was Senior Vice President, Western</t>
  </si>
  <si>
    <t>Canada Region, from 2001 to January 2018.</t>
  </si>
  <si>
    <t>Paul G. Moulton</t>
  </si>
  <si>
    <t>Executive Vice President, Chief Information</t>
  </si>
  <si>
    <t>Officer. Mr. Moulton was Executive Vice</t>
  </si>
  <si>
    <t>President, Real Estate Development, from</t>
  </si>
  <si>
    <t>2001 until March 2010.</t>
  </si>
  <si>
    <t>James P. Murphy</t>
  </si>
  <si>
    <t>Officer, International. Mr. Murphy was</t>
  </si>
  <si>
    <t>Senior Vice President, International,</t>
  </si>
  <si>
    <t>from 2004 to October 2010.</t>
  </si>
  <si>
    <t>Joseph P. Portera</t>
  </si>
  <si>
    <t>Officer, Eastern and Canadian Divisions.</t>
  </si>
  <si>
    <t>Mr. Portera has held these positions since</t>
  </si>
  <si>
    <t>1994 and has been the Chief Diversity Officer</t>
  </si>
  <si>
    <t>since 2010.</t>
  </si>
  <si>
    <t>Timothy L. Rose</t>
  </si>
  <si>
    <t>Executive Vice President, Ancillary Businesses,</t>
  </si>
  <si>
    <t>Manufacturing, and Business Centers.</t>
  </si>
  <si>
    <t>Mr. Rose was Senior Vice President, Merchandising,</t>
  </si>
  <si>
    <t>Food and Sundries and Private Label, from</t>
  </si>
  <si>
    <t>1995 to December 2012.</t>
  </si>
  <si>
    <t>Ron M. Vachris</t>
  </si>
  <si>
    <t>Officer, Merchandising. Mr. Vachris was</t>
  </si>
  <si>
    <t>Senior Vice President, Real Estate Development,</t>
  </si>
  <si>
    <t>Warehouse Properties</t>
  </si>
  <si>
    <t>Own Land</t>
  </si>
  <si>
    <t>Lease Land</t>
  </si>
  <si>
    <t>Total</t>
  </si>
  <si>
    <t>and Building</t>
  </si>
  <si>
    <t>and/or</t>
  </si>
  <si>
    <t>Building (1)</t>
  </si>
  <si>
    <t>United States and Puerto Rico</t>
  </si>
  <si>
    <t>Canada</t>
  </si>
  <si>
    <t>Mexico</t>
  </si>
  <si>
    <t>United Kingdom</t>
  </si>
  <si>
    <t>Japan</t>
  </si>
  <si>
    <t>Korea</t>
  </si>
  <si>
    <t>Taiwan</t>
  </si>
  <si>
    <t>-</t>
  </si>
  <si>
    <t>Australia</t>
  </si>
  <si>
    <t>Spain</t>
  </si>
  <si>
    <t>Iceland</t>
  </si>
  <si>
    <t>France</t>
  </si>
  <si>
    <t>China</t>
  </si>
  <si>
    <t>US</t>
  </si>
  <si>
    <t>Other International</t>
  </si>
  <si>
    <t>Area (in M sq. ft)</t>
  </si>
  <si>
    <t>Area added (in M sq. ft)</t>
  </si>
  <si>
    <t>Sales / Sq Ft</t>
  </si>
  <si>
    <t>Growth in Sales / Sq Ft</t>
  </si>
  <si>
    <t># of exec members (in M)</t>
  </si>
  <si>
    <t>Fees / exec member</t>
  </si>
  <si>
    <t># of other paid members (in M)</t>
  </si>
  <si>
    <t>Fees / other paid member</t>
  </si>
  <si>
    <t>Membership Revenue</t>
  </si>
  <si>
    <t>Growth in of exec members</t>
  </si>
  <si>
    <t>Growth in Fees / exec member</t>
  </si>
  <si>
    <t>Growth in # of other paid members</t>
  </si>
  <si>
    <t>Growth in Fees / other paid member</t>
  </si>
  <si>
    <t>Growth in Membership Revenue</t>
  </si>
  <si>
    <t>eCommerce Sales (% of Net Sales)</t>
  </si>
  <si>
    <t>eCommerce Sales (in $ M)</t>
  </si>
  <si>
    <t>COS % of Sales</t>
  </si>
  <si>
    <t>COS (in $ M)</t>
  </si>
  <si>
    <t>SGA % of Sales</t>
  </si>
  <si>
    <t>SGA (in $ M)</t>
  </si>
  <si>
    <t>FT Employees</t>
  </si>
  <si>
    <t>PT Employees</t>
  </si>
  <si>
    <t>Total Employees</t>
  </si>
  <si>
    <t>Preopening expenses (in $ M)</t>
  </si>
  <si>
    <t>Taxation (in $ M)</t>
  </si>
  <si>
    <t>Tax %</t>
  </si>
  <si>
    <t>CURRENT ASSETS</t>
  </si>
  <si>
    <t>Cash and cash equivalents</t>
  </si>
  <si>
    <t>Short-term investments</t>
  </si>
  <si>
    <t>Receivables, net</t>
  </si>
  <si>
    <t>Merchandise inventories</t>
  </si>
  <si>
    <t>Other current assets</t>
  </si>
  <si>
    <t>Total current assets</t>
  </si>
  <si>
    <t>DSO</t>
  </si>
  <si>
    <t>DIO</t>
  </si>
  <si>
    <t>CURRENT LIABILITIES</t>
  </si>
  <si>
    <t>Accounts payable</t>
  </si>
  <si>
    <t>Accrued salaries and benefits</t>
  </si>
  <si>
    <t>Accrued member rewards</t>
  </si>
  <si>
    <t>Deferred membership fees</t>
  </si>
  <si>
    <t>Current portion of long-term debt</t>
  </si>
  <si>
    <t>Other current liabilities</t>
  </si>
  <si>
    <t>Total current liabilities</t>
  </si>
  <si>
    <t>WC</t>
  </si>
  <si>
    <t>Change in WC</t>
  </si>
  <si>
    <t>September 1,</t>
  </si>
  <si>
    <t>September 2,</t>
  </si>
  <si>
    <t>ASSETS</t>
  </si>
  <si>
    <t>PROPERTY AND EQUIPMENT</t>
  </si>
  <si>
    <t>Land</t>
  </si>
  <si>
    <t>Buildings and improvements</t>
  </si>
  <si>
    <t>Equipment and fixtures</t>
  </si>
  <si>
    <t>Construction in progress</t>
  </si>
  <si>
    <t>Less accumulated depreciation and amortization</t>
  </si>
  <si>
    <t>Net property and equipment</t>
  </si>
  <si>
    <t>TOTAL ASSETS</t>
  </si>
  <si>
    <t>LIABILITIES AND EQUITY</t>
  </si>
  <si>
    <t>OTHER LIABILITIES</t>
  </si>
  <si>
    <t>Total liabilities</t>
  </si>
  <si>
    <t>Additional paid-in capital</t>
  </si>
  <si>
    <t>Accumulated other comprehensive loss</t>
  </si>
  <si>
    <t>Retained earnings</t>
  </si>
  <si>
    <t>Total Costco stockholders? equity</t>
  </si>
  <si>
    <t>Noncontrolling interests</t>
  </si>
  <si>
    <t>Total equity</t>
  </si>
  <si>
    <t>TOTAL LIABILITIES AND EQUITY</t>
  </si>
  <si>
    <t>CONSOLIDATED STATEMENTS OF INCOME</t>
  </si>
  <si>
    <t>52 Weeks Ended</t>
  </si>
  <si>
    <t>53 Weeks Ended</t>
  </si>
  <si>
    <t>September 3,</t>
  </si>
  <si>
    <t>REVENUE</t>
  </si>
  <si>
    <t>Net sales</t>
  </si>
  <si>
    <t>Membership fees</t>
  </si>
  <si>
    <t>Total revenue</t>
  </si>
  <si>
    <t>OPERATING EXPENSES</t>
  </si>
  <si>
    <t>Merchandise costs</t>
  </si>
  <si>
    <t>Exec</t>
  </si>
  <si>
    <t>Other</t>
  </si>
  <si>
    <t>Selling, general and administrative</t>
  </si>
  <si>
    <t>Members (in M)</t>
  </si>
  <si>
    <t>Preopening expenses</t>
  </si>
  <si>
    <t>Operating income</t>
  </si>
  <si>
    <t>Fees (in $)</t>
  </si>
  <si>
    <t>OTHER INCOME (EXPENSE)</t>
  </si>
  <si>
    <t>Interest expense</t>
  </si>
  <si>
    <t>Interest income and other, net</t>
  </si>
  <si>
    <t>INCOME BEFORE INCOME TAXES</t>
  </si>
  <si>
    <t>Provision for income taxes</t>
  </si>
  <si>
    <t>Net income including noncontrolling interests</t>
  </si>
  <si>
    <t>Net income attributable to noncontrolling</t>
  </si>
  <si>
    <t>interests</t>
  </si>
  <si>
    <t>NET INCOME ATTRIBUTABLE TO COSTCO</t>
  </si>
  <si>
    <t>NET INCOME PER COMMON SHARE ATTRIBUTABLE</t>
  </si>
  <si>
    <t>TO COSTCO:</t>
  </si>
  <si>
    <t>Basic</t>
  </si>
  <si>
    <t>Diluted</t>
  </si>
  <si>
    <t>Shares used in calculation (000?s)</t>
  </si>
  <si>
    <t>United States</t>
  </si>
  <si>
    <t>Total Warehouses</t>
  </si>
  <si>
    <t>International</t>
  </si>
  <si>
    <t>in Operation</t>
  </si>
  <si>
    <t>2015 and prior</t>
  </si>
  <si>
    <t>2020 (expected through 12/31/2019)</t>
  </si>
  <si>
    <t>Issuer Purchases of Equity Securities</t>
  </si>
  <si>
    <t>Period</t>
  </si>
  <si>
    <t>Total Number of Shares Purchased</t>
  </si>
  <si>
    <t>Average Price Paid per Share</t>
  </si>
  <si>
    <t>Total Number of Shares Purchased as Part</t>
  </si>
  <si>
    <t>Maximum Dollar Value of Shares that May</t>
  </si>
  <si>
    <t>of Publicly Announced Program (1)</t>
  </si>
  <si>
    <t>Yet be Purchased under the Program</t>
  </si>
  <si>
    <t>May 13-June 9, 2019</t>
  </si>
  <si>
    <t>June 10-July 7, 2019</t>
  </si>
  <si>
    <t>July 8-August 4, 2019</t>
  </si>
  <si>
    <t>August 5-September 1, 2019</t>
  </si>
  <si>
    <t xml:space="preserve">     Total fourth quarter</t>
  </si>
  <si>
    <t>RESULTS OF OPERATIONS</t>
  </si>
  <si>
    <t>Sept. 1, 2019</t>
  </si>
  <si>
    <t>Sept. 2, 2018</t>
  </si>
  <si>
    <t>Sept. 3, 2017</t>
  </si>
  <si>
    <t>Aug. 28, 2016</t>
  </si>
  <si>
    <t>Aug. 30, 2015</t>
  </si>
  <si>
    <t>As of and for the year ended</t>
  </si>
  <si>
    <t>(52 weeks)</t>
  </si>
  <si>
    <t>(53 weeks)</t>
  </si>
  <si>
    <t>Gross margin (1)    as a percentage of net sales</t>
  </si>
  <si>
    <t>%</t>
  </si>
  <si>
    <t>Selling, general and administrative expenses</t>
  </si>
  <si>
    <t>as a percentage of net sales</t>
  </si>
  <si>
    <t>Net income attributable to Costco</t>
  </si>
  <si>
    <t>Net income per diluted common share attributable</t>
  </si>
  <si>
    <t>to Costco</t>
  </si>
  <si>
    <t>Cash dividends declared per common share</t>
  </si>
  <si>
    <t>Changes in comparable sales (2)</t>
  </si>
  <si>
    <t>Total Company</t>
  </si>
  <si>
    <t>Changes in Total Company comparable sales</t>
  </si>
  <si>
    <t>excluding the impact of changes in foreign</t>
  </si>
  <si>
    <t>currency and gasoline prices (3)</t>
  </si>
  <si>
    <t>BALANCE SHEET DATA</t>
  </si>
  <si>
    <t>Total assets</t>
  </si>
  <si>
    <t>Long-term debt, excluding current portion</t>
  </si>
  <si>
    <t>Costco stockholders? equity</t>
  </si>
  <si>
    <t>WAREHOUSE INFORMATION</t>
  </si>
  <si>
    <t>Warehouses in Operation</t>
  </si>
  <si>
    <t>Beginning of year</t>
  </si>
  <si>
    <t>Opened</t>
  </si>
  <si>
    <t>Closed due to relocation</t>
  </si>
  <si>
    <t>End of year</t>
  </si>
  <si>
    <t>MEMBERSHIP INFORMATION</t>
  </si>
  <si>
    <t>Total paid members (000's)</t>
  </si>
  <si>
    <t>Net Sales</t>
  </si>
  <si>
    <t>Changes in net sales:</t>
  </si>
  <si>
    <t>U.S.</t>
  </si>
  <si>
    <t>Changes in comparable sales:</t>
  </si>
  <si>
    <t>Increases in comparable sales excluding</t>
  </si>
  <si>
    <t>the impact of changes in foreign currency</t>
  </si>
  <si>
    <t>and gasoline prices (1)    :</t>
  </si>
  <si>
    <t>Membership Fees</t>
  </si>
  <si>
    <t>Membership fees increase</t>
  </si>
  <si>
    <t>Membership fees as a percentage of net sales</t>
  </si>
  <si>
    <t>Gross Margin</t>
  </si>
  <si>
    <t>Less merchandise costs</t>
  </si>
  <si>
    <t>Gross margin</t>
  </si>
  <si>
    <t>Gross margin percentage</t>
  </si>
  <si>
    <t>Selling, General and Administrative Expenses</t>
  </si>
  <si>
    <t>SG&amp;A expenses</t>
  </si>
  <si>
    <t>SG&amp;A expenses as a percentage of net sales</t>
  </si>
  <si>
    <t>Preopening</t>
  </si>
  <si>
    <t>Warehouse openings, including relocations</t>
  </si>
  <si>
    <t>Total warehouse openings, including relocations</t>
  </si>
  <si>
    <t>Interest Income and Other, Net</t>
  </si>
  <si>
    <t>Interest income</t>
  </si>
  <si>
    <t>Foreign-currency transaction gains (losses),</t>
  </si>
  <si>
    <t>net</t>
  </si>
  <si>
    <t>Other, net</t>
  </si>
  <si>
    <t>Provision for Income Taxes</t>
  </si>
  <si>
    <t>Effective tax rate</t>
  </si>
  <si>
    <t>LIQUIDITY AND CAPITAL RESOURCES</t>
  </si>
  <si>
    <t>Net cash provided by operating activities</t>
  </si>
  <si>
    <t>Net cash used in investing activities</t>
  </si>
  <si>
    <t>Net cash used in financing activities</t>
  </si>
  <si>
    <t>Contractual Obligations</t>
  </si>
  <si>
    <t>Payments Due by Fiscal Year</t>
  </si>
  <si>
    <t>Contractual obligations</t>
  </si>
  <si>
    <t>2021 to 2022</t>
  </si>
  <si>
    <t>2023 to 2024</t>
  </si>
  <si>
    <t>2025 and thereafter</t>
  </si>
  <si>
    <t>Purchase obligations (merchandise) (1)</t>
  </si>
  <si>
    <t>$-</t>
  </si>
  <si>
    <t>Long-term debt (2)</t>
  </si>
  <si>
    <t>Operating leases (3)</t>
  </si>
  <si>
    <t>Construction and land obligations</t>
  </si>
  <si>
    <t>Capital lease obligations (4)</t>
  </si>
  <si>
    <t>Purchase obligations (equipment, services</t>
  </si>
  <si>
    <t>and other) (5)</t>
  </si>
  <si>
    <t>Other (6)</t>
  </si>
  <si>
    <t>CONSOLIDATED STATEMENTS OF COMPREHENSIVE INCOME</t>
  </si>
  <si>
    <t>NET INCOME INCLUDING NONCONTROLLING INTERESTS</t>
  </si>
  <si>
    <t>Foreign-currency translation adjustment</t>
  </si>
  <si>
    <t>and other, net</t>
  </si>
  <si>
    <t>Comprehensive income</t>
  </si>
  <si>
    <t>Less: Comprehensive income attributable</t>
  </si>
  <si>
    <t>to noncontrolling interests</t>
  </si>
  <si>
    <t>COMPREHENSIVE INCOME ATTRIBUTABLE TO</t>
  </si>
  <si>
    <t>COSTCO</t>
  </si>
  <si>
    <t>CONSOLIDATED STATEMENTS OF EQUITY</t>
  </si>
  <si>
    <t>Common Stock</t>
  </si>
  <si>
    <t>Additional</t>
  </si>
  <si>
    <t>Accumulated</t>
  </si>
  <si>
    <t>Retained</t>
  </si>
  <si>
    <t>Total Costco</t>
  </si>
  <si>
    <t>Noncontrolling</t>
  </si>
  <si>
    <t>Paid-in</t>
  </si>
  <si>
    <t>Earnings</t>
  </si>
  <si>
    <t>Stockholders?</t>
  </si>
  <si>
    <t>Interests</t>
  </si>
  <si>
    <t>Equity</t>
  </si>
  <si>
    <t>Capital</t>
  </si>
  <si>
    <t>Comprehensive</t>
  </si>
  <si>
    <t>Shares (000?s)</t>
  </si>
  <si>
    <t>Amount</t>
  </si>
  <si>
    <t>Income (Loss)</t>
  </si>
  <si>
    <t>BALANCE AT AUGUST 28, 2016</t>
  </si>
  <si>
    <t>Net income</t>
  </si>
  <si>
    <t>Stock-based compensation</t>
  </si>
  <si>
    <t>Release of vested restricted stock units</t>
  </si>
  <si>
    <t>(RSUs), including tax effects</t>
  </si>
  <si>
    <t>Conversion of convertible notes</t>
  </si>
  <si>
    <t>Repurchases of common stock</t>
  </si>
  <si>
    <t>Cash dividends declared and other</t>
  </si>
  <si>
    <t>BALANCE AT SEPTEMBER 3, 2017</t>
  </si>
  <si>
    <t>Release of vested RSUs, including tax effects</t>
  </si>
  <si>
    <t>BALANCE AT SEPTEMBER 2, 2018</t>
  </si>
  <si>
    <t>BALANCE AT SEPTEMBER 1, 2019</t>
  </si>
  <si>
    <t>CONSOLIDATED STATEMENTS OF CASH FLOWS</t>
  </si>
  <si>
    <t>CASH FLOWS FROM OPERATING ACTIVITIES</t>
  </si>
  <si>
    <t>Adjustments to reconcile net income including</t>
  </si>
  <si>
    <t>noncontrolling interests to net cash provided</t>
  </si>
  <si>
    <t>by operating activities:</t>
  </si>
  <si>
    <t>Depreciation and amortization</t>
  </si>
  <si>
    <t>Other non-cash operating activities,</t>
  </si>
  <si>
    <t>Deferred income taxes</t>
  </si>
  <si>
    <t>Changes in operating assets and liabilities:</t>
  </si>
  <si>
    <t>Other operating assets and liabilities,</t>
  </si>
  <si>
    <t>CASH FLOWS FROM INVESTING ACTIVITIES</t>
  </si>
  <si>
    <t>Purchases of short-term investments</t>
  </si>
  <si>
    <t>Maturities and sales of short-term investments</t>
  </si>
  <si>
    <t>Additions to property and equipment</t>
  </si>
  <si>
    <t>Other investing activities, net</t>
  </si>
  <si>
    <t>CASH FLOWS FROM FINANCING ACTIVITIES</t>
  </si>
  <si>
    <t>Change in bank payments outstanding</t>
  </si>
  <si>
    <t>Proceeds from issuance of long-term debt</t>
  </si>
  <si>
    <t>Repayments of long-term debt</t>
  </si>
  <si>
    <t>Tax withholdings on stock-based awards</t>
  </si>
  <si>
    <t>Cash dividend payments</t>
  </si>
  <si>
    <t>Other financing activities, net</t>
  </si>
  <si>
    <t>EFFECT OF EXCHANGE RATE CHANGES ON CASH</t>
  </si>
  <si>
    <t>AND CASH EQUIVALENTS</t>
  </si>
  <si>
    <t>Net change in cash and cash equivalents</t>
  </si>
  <si>
    <t>CASH AND CASH EQUIVALENTS BEGINNING OF</t>
  </si>
  <si>
    <t>YEAR</t>
  </si>
  <si>
    <t>CASH AND CASH EQUIVALENTS END OF YEAR</t>
  </si>
  <si>
    <t>SUPPLEMENTAL DISCLOSURE OF CASH FLOW INFORMATION:</t>
  </si>
  <si>
    <t>Cash paid during the year for:</t>
  </si>
  <si>
    <t>Interest</t>
  </si>
  <si>
    <t>Income taxes, net</t>
  </si>
  <si>
    <t>SUPPLEMENTAL DISCLOSURE OF NON-CASH INVESTING</t>
  </si>
  <si>
    <t>AND FINANCING ACTIVITIES:</t>
  </si>
  <si>
    <t>Cash dividend declared, but not yet paid</t>
  </si>
  <si>
    <t>Merchandise Inventories</t>
  </si>
  <si>
    <t>Recent Accounting Pronouncements Adopted</t>
  </si>
  <si>
    <t>As Reported</t>
  </si>
  <si>
    <t>ASU 2014-09 Effect</t>
  </si>
  <si>
    <t>Excluding ASU 2014-09 Effect</t>
  </si>
  <si>
    <t>52 Weeks Ended September 1, 2019</t>
  </si>
  <si>
    <t>Merchandise Costs</t>
  </si>
  <si>
    <t>Gross Margin (1)</t>
  </si>
  <si>
    <t>Note 2 Investments</t>
  </si>
  <si>
    <t>2019:</t>
  </si>
  <si>
    <t>Cost</t>
  </si>
  <si>
    <t>Unrealized</t>
  </si>
  <si>
    <t>Recorded</t>
  </si>
  <si>
    <t>Basis</t>
  </si>
  <si>
    <t>Gains, Net</t>
  </si>
  <si>
    <t>Available-for-sale:</t>
  </si>
  <si>
    <t>Government and agency securities</t>
  </si>
  <si>
    <t>Held-to-maturity:</t>
  </si>
  <si>
    <t>Certificates of deposit</t>
  </si>
  <si>
    <t>Total short-term investments</t>
  </si>
  <si>
    <t>2018:</t>
  </si>
  <si>
    <t>Losses, Net</t>
  </si>
  <si>
    <t>Available-For-Sale</t>
  </si>
  <si>
    <t>Held-To-Maturity</t>
  </si>
  <si>
    <t>Cost Basis</t>
  </si>
  <si>
    <t>Fair Value</t>
  </si>
  <si>
    <t>Due in one year or less</t>
  </si>
  <si>
    <t>Due after one year through five years</t>
  </si>
  <si>
    <t>Due after five years</t>
  </si>
  <si>
    <t xml:space="preserve">       Total</t>
  </si>
  <si>
    <t>Assets and Liabilities Measured at Fair Value on a Recurring Basis</t>
  </si>
  <si>
    <t>Level 1</t>
  </si>
  <si>
    <t>Level 2</t>
  </si>
  <si>
    <t>Investment in government and agency securities (1)</t>
  </si>
  <si>
    <t>Forward foreign-exchange contracts,</t>
  </si>
  <si>
    <t>in asset position (2)</t>
  </si>
  <si>
    <t>in (liability) position (2)</t>
  </si>
  <si>
    <t>Money market mutual funds (3)</t>
  </si>
  <si>
    <t>Long-Term Debt</t>
  </si>
  <si>
    <t>1.70% Senior Notes due December 2019</t>
  </si>
  <si>
    <t>1.75% Senior Notes due February 2020</t>
  </si>
  <si>
    <t>2.15% Senior Notes due May 2021</t>
  </si>
  <si>
    <t>2.25% Senior Notes due February 2022</t>
  </si>
  <si>
    <t>2.30% Senior Notes due May 2022</t>
  </si>
  <si>
    <t>2.75% Senior Notes due May 2024</t>
  </si>
  <si>
    <t>3.00% Senior Notes due May 2027</t>
  </si>
  <si>
    <t>Other long-term debt</t>
  </si>
  <si>
    <t>Total long-term debt</t>
  </si>
  <si>
    <t>Less unamortized debt discounts and issuance</t>
  </si>
  <si>
    <t>costs</t>
  </si>
  <si>
    <t>Less current portion (1)</t>
  </si>
  <si>
    <t>Thereafter</t>
  </si>
  <si>
    <t>Capital and Build-to-Suit Leases</t>
  </si>
  <si>
    <t>Operating</t>
  </si>
  <si>
    <t>Leases</t>
  </si>
  <si>
    <t>Leases (1)</t>
  </si>
  <si>
    <t>Less amount representing interest</t>
  </si>
  <si>
    <t>Net present value of minimum lease payments</t>
  </si>
  <si>
    <t>Less current installments (2)</t>
  </si>
  <si>
    <t>Long-term capital lease obligations less</t>
  </si>
  <si>
    <t>current installments (3)</t>
  </si>
  <si>
    <t>Stock Repurchase Programs</t>
  </si>
  <si>
    <t>Shares</t>
  </si>
  <si>
    <t>Average</t>
  </si>
  <si>
    <t>Total Cost</t>
  </si>
  <si>
    <t>Repurchased</t>
  </si>
  <si>
    <t>Price per</t>
  </si>
  <si>
    <t>(000?s)</t>
  </si>
  <si>
    <t>Share</t>
  </si>
  <si>
    <t>Summary of Restricted Stock Unit Activity</t>
  </si>
  <si>
    <t>Number of</t>
  </si>
  <si>
    <t>Weighted-Average</t>
  </si>
  <si>
    <t>Units</t>
  </si>
  <si>
    <t>Grant Date Fair</t>
  </si>
  <si>
    <t>(in 000?s)</t>
  </si>
  <si>
    <t>Value</t>
  </si>
  <si>
    <t>Outstanding at the end of 2018</t>
  </si>
  <si>
    <t>Granted</t>
  </si>
  <si>
    <t>Vested and delivered</t>
  </si>
  <si>
    <t>Forfeited</t>
  </si>
  <si>
    <t>Outstanding at the end of 2019</t>
  </si>
  <si>
    <t>Summary of Stock-Based Compensation</t>
  </si>
  <si>
    <t>Stock-based compensation expense before</t>
  </si>
  <si>
    <t>income taxes</t>
  </si>
  <si>
    <t>Less income tax benefit (1)</t>
  </si>
  <si>
    <t>Stock-based compensation expense, net</t>
  </si>
  <si>
    <t>of income taxes</t>
  </si>
  <si>
    <t>Income Taxes</t>
  </si>
  <si>
    <t>Domestic</t>
  </si>
  <si>
    <t>Foreign</t>
  </si>
  <si>
    <t>Federal:</t>
  </si>
  <si>
    <t>Current</t>
  </si>
  <si>
    <t>Deferred</t>
  </si>
  <si>
    <t>Total federal</t>
  </si>
  <si>
    <t>State:</t>
  </si>
  <si>
    <t>Total state</t>
  </si>
  <si>
    <t>Foreign:</t>
  </si>
  <si>
    <t>Total foreign</t>
  </si>
  <si>
    <t>Total provision for income taxes</t>
  </si>
  <si>
    <t>Federal taxes at statutory rate</t>
  </si>
  <si>
    <t>State taxes, net</t>
  </si>
  <si>
    <t>Foreign taxes, net</t>
  </si>
  <si>
    <t>Employee stock ownership plan (ESOP)</t>
  </si>
  <si>
    <t>2017 Tax Act</t>
  </si>
  <si>
    <t>Deferred tax assets:</t>
  </si>
  <si>
    <t>Equity compensation</t>
  </si>
  <si>
    <t>Deferred income/membership fees</t>
  </si>
  <si>
    <t>Foreign tax credit carry forward</t>
  </si>
  <si>
    <t>Accrued liabilities and reserves</t>
  </si>
  <si>
    <t>Total deferred tax assets</t>
  </si>
  <si>
    <t>Valuation allowance</t>
  </si>
  <si>
    <t>Total net deferred tax assets</t>
  </si>
  <si>
    <t>Deferred tax liabilities:</t>
  </si>
  <si>
    <t>Property and equipment</t>
  </si>
  <si>
    <t>Foreign branch deferreds</t>
  </si>
  <si>
    <t>Total deferred tax liabilities</t>
  </si>
  <si>
    <t xml:space="preserve">       Net deferred tax (liabilities)/assets</t>
  </si>
  <si>
    <t>Gross unrecognized tax benefit at beginning</t>
  </si>
  <si>
    <t>of year</t>
  </si>
  <si>
    <t>Gross increases-current year tax positions</t>
  </si>
  <si>
    <t>Gross increases-tax positions in prior</t>
  </si>
  <si>
    <t>years</t>
  </si>
  <si>
    <t>Gross decreases-tax positions in prior</t>
  </si>
  <si>
    <t>Settlements</t>
  </si>
  <si>
    <t>Lapse of statute of limitations</t>
  </si>
  <si>
    <t>Gross unrecognized tax benefit at end of</t>
  </si>
  <si>
    <t>year</t>
  </si>
  <si>
    <t>Note 9 Net Income per Common and Common Equivalent Share</t>
  </si>
  <si>
    <t>Weighted average basic shares</t>
  </si>
  <si>
    <t>RSUs and other</t>
  </si>
  <si>
    <t>Weighted average diluted shares</t>
  </si>
  <si>
    <t>Note 11 Segment Reporting</t>
  </si>
  <si>
    <t>Canadian</t>
  </si>
  <si>
    <t>Operations</t>
  </si>
  <si>
    <t>Disaggregated Revenue</t>
  </si>
  <si>
    <t>Food and Sundries</t>
  </si>
  <si>
    <t>Hardlines</t>
  </si>
  <si>
    <t>Fresh Foods</t>
  </si>
  <si>
    <t>Softlines</t>
  </si>
  <si>
    <t>Ancillary</t>
  </si>
  <si>
    <t xml:space="preserve">     Total Net Sales</t>
  </si>
  <si>
    <t>Note 12 Quarterly Financial Data (Unaudited)</t>
  </si>
  <si>
    <t>First</t>
  </si>
  <si>
    <t>Second</t>
  </si>
  <si>
    <t>Third</t>
  </si>
  <si>
    <t>Fourth</t>
  </si>
  <si>
    <t>Quarter</t>
  </si>
  <si>
    <t>(52 Weeks)</t>
  </si>
  <si>
    <t>(12 Weeks)</t>
  </si>
  <si>
    <t>(16 Weeks)</t>
  </si>
  <si>
    <t>CASH DIVIDENDS DECLARED PER COMMON SHARE</t>
  </si>
  <si>
    <t>52 Weeks Ended September 2, 2018</t>
  </si>
  <si>
    <t>Total (52 Weeks)</t>
  </si>
  <si>
    <t>Item 15 Exhibits, Financial Statement Schedules</t>
  </si>
  <si>
    <t>Incorporated by Reference</t>
  </si>
  <si>
    <t>Exhibit</t>
  </si>
  <si>
    <t>Exhibit Description</t>
  </si>
  <si>
    <t>Filed</t>
  </si>
  <si>
    <t>Form</t>
  </si>
  <si>
    <t>Period Ended</t>
  </si>
  <si>
    <t>Filing Date</t>
  </si>
  <si>
    <t>Number</t>
  </si>
  <si>
    <t>Herewith</t>
  </si>
  <si>
    <t>Articles of Incorporation as amended of</t>
  </si>
  <si>
    <t>10-Q</t>
  </si>
  <si>
    <t>2/17/2019</t>
  </si>
  <si>
    <t>3/13/2019</t>
  </si>
  <si>
    <t>Bylaws as amended of Costco Wholesale Corporation</t>
  </si>
  <si>
    <t>8-K</t>
  </si>
  <si>
    <t>4/30/2019</t>
  </si>
  <si>
    <t>Form of 2.150% Senior Notes due May 18, 2021</t>
  </si>
  <si>
    <t>5/16/2017</t>
  </si>
  <si>
    <t>Form of 2.300% Senior Notes due May 18, 2022</t>
  </si>
  <si>
    <t>Form of 2.750% Senior Notes due May 18, 2024</t>
  </si>
  <si>
    <t>Form of 3.000% Senior Notes due May 18, 2027</t>
  </si>
  <si>
    <t>10.1*</t>
  </si>
  <si>
    <t>Costco Wholesale Executive Health Plan</t>
  </si>
  <si>
    <t>9/2/2012</t>
  </si>
  <si>
    <t>10/19/2012</t>
  </si>
  <si>
    <t>10.2*</t>
  </si>
  <si>
    <t>2019 Incentive Plan</t>
  </si>
  <si>
    <t>DEF 14</t>
  </si>
  <si>
    <t>12/17/2019</t>
  </si>
  <si>
    <t>10.3*</t>
  </si>
  <si>
    <t>Seventh Restated 2002 Stock Incentive</t>
  </si>
  <si>
    <t>DEF 14A</t>
  </si>
  <si>
    <t>12/19/2014</t>
  </si>
  <si>
    <t>Plan</t>
  </si>
  <si>
    <t>10.3.1*</t>
  </si>
  <si>
    <t>11/22/2015</t>
  </si>
  <si>
    <t>12/17/2015</t>
  </si>
  <si>
    <t>Plan Restricted Stock Unit Award Agreement-U.S.</t>
  </si>
  <si>
    <t>Employee</t>
  </si>
  <si>
    <t>10.3.2*</t>
  </si>
  <si>
    <t>Plan Restricted Stock Unit Award Agreement-Non-U.S.</t>
  </si>
  <si>
    <t>10.3.3*</t>
  </si>
  <si>
    <t>Plan Restricted Stock Unit Award Agreement-Non-Executive</t>
  </si>
  <si>
    <t>Director</t>
  </si>
  <si>
    <t>10.3.4</t>
  </si>
  <si>
    <t>Plan Letter Agreement for 2016 Performance-Based</t>
  </si>
  <si>
    <t>Restricted Stock Units-Executive</t>
  </si>
  <si>
    <t>10.4*</t>
  </si>
  <si>
    <t>Fiscal 2019 Executive Bonus Plan</t>
  </si>
  <si>
    <t>10/26/2018</t>
  </si>
  <si>
    <t>10.5.1*</t>
  </si>
  <si>
    <t>Executive Employment Agreement, effective</t>
  </si>
  <si>
    <t>11/20/2016</t>
  </si>
  <si>
    <t>12/16/2016</t>
  </si>
  <si>
    <t>January 1, 2017, between W. Craig Jelinek</t>
  </si>
  <si>
    <t>and Costco Wholesale Corporation</t>
  </si>
  <si>
    <t>10.5.2*</t>
  </si>
  <si>
    <t>Extension of the Term of the Executive Employment</t>
  </si>
  <si>
    <t>11/25/2018</t>
  </si>
  <si>
    <t>12/20/2018</t>
  </si>
  <si>
    <t>Agreement, effective January 1, 2019,</t>
  </si>
  <si>
    <t>between W. Craig Jelinek and Costco Wholesale</t>
  </si>
  <si>
    <t>Corporation</t>
  </si>
  <si>
    <t>Form of Indemnification Agreement</t>
  </si>
  <si>
    <t>14A</t>
  </si>
  <si>
    <t>12/13/1999</t>
  </si>
  <si>
    <t>10.7*</t>
  </si>
  <si>
    <t>Deferred Compensation Plan</t>
  </si>
  <si>
    <t>9/1/2013</t>
  </si>
  <si>
    <t>10/16/2013</t>
  </si>
  <si>
    <t>10.8.1**</t>
  </si>
  <si>
    <t>Citibank, N.A. Co-Branded Credit Card</t>
  </si>
  <si>
    <t>10-Q/A</t>
  </si>
  <si>
    <t>5/10/2015</t>
  </si>
  <si>
    <t>8/31/2015</t>
  </si>
  <si>
    <t>Agreement</t>
  </si>
  <si>
    <t>10.8.2**</t>
  </si>
  <si>
    <t>First Amendment to Citi, N.A. Co-Branded</t>
  </si>
  <si>
    <t>Credit Card Agreement</t>
  </si>
  <si>
    <t>10.8.3**</t>
  </si>
  <si>
    <t>Second Amendment to Citi, N.A. Co-Branded</t>
  </si>
  <si>
    <t>2/14/2016</t>
  </si>
  <si>
    <t>3/9/2016</t>
  </si>
  <si>
    <t>10.8.4**</t>
  </si>
  <si>
    <t>Third Amendment to Citi, N.A. Co-Branded</t>
  </si>
  <si>
    <t>8/28/2016</t>
  </si>
  <si>
    <t>10/12/2016</t>
  </si>
  <si>
    <t>10.8.5**</t>
  </si>
  <si>
    <t>Fourth Amendment to Citi, N.A. Co-Branded</t>
  </si>
  <si>
    <t>2/18/2018</t>
  </si>
  <si>
    <t>3/15/2018</t>
  </si>
  <si>
    <t>10.8.6**</t>
  </si>
  <si>
    <t>Fifth Amendment to Citi, N.A. Co-Branded</t>
  </si>
  <si>
    <t>10.8.7**</t>
  </si>
  <si>
    <t>Sixth Amendment to Citi, N.A. Co-Branded</t>
  </si>
  <si>
    <t>x</t>
  </si>
  <si>
    <t>Subsidiaries of the Company</t>
  </si>
  <si>
    <t>Consent of Independent Registered Public</t>
  </si>
  <si>
    <t>Accounting Firm</t>
  </si>
  <si>
    <t>Rule 13a - 14(a) Certifications</t>
  </si>
  <si>
    <t>Section 1350 Certifications</t>
  </si>
  <si>
    <t>101.INS</t>
  </si>
  <si>
    <t>XBRL Instance Document</t>
  </si>
  <si>
    <t>101.SCH</t>
  </si>
  <si>
    <t>XBRL Taxonomy Extension Schema Document</t>
  </si>
  <si>
    <t>101.CAL</t>
  </si>
  <si>
    <t>XBRL Taxonomy Extension Calculation Linkbase</t>
  </si>
  <si>
    <t>Document</t>
  </si>
  <si>
    <t>101.DEF</t>
  </si>
  <si>
    <t>XBRL Taxonomy Extension Definition Linkbase</t>
  </si>
  <si>
    <t>101.LAB</t>
  </si>
  <si>
    <t>XBRL Taxonomy Extension Label Linkbase</t>
  </si>
  <si>
    <t>101.PRE</t>
  </si>
  <si>
    <t>XBRL Taxonomy Extension Presentation</t>
  </si>
  <si>
    <t>Linkbase Document</t>
  </si>
  <si>
    <t>SUBSIDIARIES OF THE COMPANY</t>
  </si>
  <si>
    <t>Subsidiaries</t>
  </si>
  <si>
    <t>State or Other Jurisdiction of Incorporation</t>
  </si>
  <si>
    <t>Name under Which Subsidiary Does Business</t>
  </si>
  <si>
    <t>or Organization</t>
  </si>
  <si>
    <t>Costco Wholesale Membership, Inc.</t>
  </si>
  <si>
    <t>California</t>
  </si>
  <si>
    <t>Costco Wholesale Canada Ltd.</t>
  </si>
  <si>
    <t>Canadian Federal</t>
  </si>
  <si>
    <t>Costco Wholesale Canada, Ltd.</t>
  </si>
  <si>
    <t>NW Re Ltd.</t>
  </si>
  <si>
    <t>Arizona</t>
  </si>
  <si>
    <t>Costco Insurance Agency, Inc.</t>
  </si>
  <si>
    <t>PriceCostco International, Inc</t>
  </si>
  <si>
    <t>Nevada</t>
  </si>
  <si>
    <t>PriceCostco International, Inc.</t>
  </si>
  <si>
    <t>Costco Wholesale Korea, Ltd.</t>
  </si>
  <si>
    <t>Costco Wholesale Japan, Ltd.</t>
  </si>
  <si>
    <t>Costco De Mexico, S.A. de C.V.</t>
  </si>
  <si>
    <t>Costco Wholesale United Kingdom Ltd.</t>
  </si>
  <si>
    <t>Other Assets</t>
  </si>
  <si>
    <t>Long-term operating lease liabilities</t>
  </si>
  <si>
    <t>LONG-TERM DEBT</t>
  </si>
  <si>
    <t>Common stock $0.01 par value; 900,000,000 auth</t>
  </si>
  <si>
    <t xml:space="preserve">CapEx $ / sq. ft </t>
  </si>
  <si>
    <t>Depreciation &amp; Amortization</t>
  </si>
  <si>
    <t>Present Value</t>
  </si>
  <si>
    <t>Pre-tax cost of debt</t>
  </si>
  <si>
    <t>Debt value of leases</t>
  </si>
  <si>
    <t># of years embedded in yr 5 estimate</t>
  </si>
  <si>
    <t>Depreciation on Operating Lease Asset =</t>
  </si>
  <si>
    <t>Operating lease expense in current year =</t>
  </si>
  <si>
    <t>Adjustment to Operating Earnings =</t>
  </si>
  <si>
    <t>Adjustment to Total Debt outstanding =</t>
  </si>
  <si>
    <t>Adjustment to Depreciation =</t>
  </si>
  <si>
    <t>Net income attributable to noncontrolling interests</t>
  </si>
  <si>
    <t>Total Revenue</t>
  </si>
  <si>
    <t>Sales (excluding e-commerce)</t>
  </si>
  <si>
    <t>36 months - May'20</t>
  </si>
  <si>
    <t>Implied Revenue Growth</t>
  </si>
  <si>
    <t>Net Sales (in $ M; included eCom)</t>
  </si>
  <si>
    <t>Interest Rate</t>
  </si>
  <si>
    <t>Lease Obligation</t>
  </si>
  <si>
    <t>Net Debt Raised</t>
  </si>
  <si>
    <t># of shares (in M)</t>
  </si>
  <si>
    <t>Dividend (in %)</t>
  </si>
  <si>
    <t>Dividend (in $ M)</t>
  </si>
  <si>
    <t>Net Profit</t>
  </si>
  <si>
    <t>Opening Cash Balance</t>
  </si>
  <si>
    <t>Closing Cash Balance</t>
  </si>
  <si>
    <t>Dividends</t>
  </si>
  <si>
    <t>Depreciation &amp; Amortization % of Sales</t>
  </si>
  <si>
    <t>Growth</t>
  </si>
  <si>
    <t>COE</t>
  </si>
  <si>
    <t>Per share value</t>
  </si>
  <si>
    <t># of shares</t>
  </si>
  <si>
    <t>Terminal growth rate = RFR =</t>
  </si>
  <si>
    <t>EBIT (1-T)</t>
  </si>
  <si>
    <t>Invested Capital</t>
  </si>
  <si>
    <t>ROIC</t>
  </si>
  <si>
    <t>Less: Debt</t>
  </si>
  <si>
    <t>Add: Cash</t>
  </si>
  <si>
    <t>Equity Value</t>
  </si>
  <si>
    <t>Value of Operating Assets</t>
  </si>
  <si>
    <t>Base Year</t>
  </si>
  <si>
    <t>Includes gasoline, pharmacy</t>
  </si>
  <si>
    <t>Includes apparel, small app</t>
  </si>
  <si>
    <t>Includes meat, deli, bakery</t>
  </si>
  <si>
    <t>Includes major app, electronics, health, beauty, hardware, patio</t>
  </si>
  <si>
    <t>Includes packaged foods, groceries, cleaning supp, beverages</t>
  </si>
  <si>
    <t>Additional Debt Raised in FY20</t>
  </si>
  <si>
    <t>Add to Assets</t>
  </si>
  <si>
    <t>P/E</t>
  </si>
  <si>
    <t>Share Price</t>
  </si>
  <si>
    <t>Date</t>
  </si>
  <si>
    <t>Daily Return</t>
  </si>
  <si>
    <t>NASDAQ</t>
  </si>
  <si>
    <t>Beta</t>
  </si>
  <si>
    <t>Stores</t>
  </si>
  <si>
    <t>Members / Whse</t>
  </si>
  <si>
    <t xml:space="preserve"># of Whses </t>
  </si>
  <si>
    <t>New Whses added</t>
  </si>
  <si>
    <t>Growth in Area / Whse</t>
  </si>
  <si>
    <t>Sales / Whse (in $ M)</t>
  </si>
  <si>
    <t>Growth in Sales / Whse</t>
  </si>
  <si>
    <t>Total Employees / Whse</t>
  </si>
  <si>
    <t>Members / Sq. ft</t>
  </si>
  <si>
    <t>Total Members (in M)</t>
  </si>
  <si>
    <t>Costco Market Cap (as on 6/5/2020)</t>
  </si>
  <si>
    <t>Terminal</t>
  </si>
  <si>
    <t>Revenue Distribution</t>
  </si>
  <si>
    <t>Net Sales (in $ M)</t>
  </si>
  <si>
    <t>Net Sales / Member (in $)</t>
  </si>
  <si>
    <t>Growth in Net Sales / Member</t>
  </si>
  <si>
    <t>Area / Whse (in sq. ft)</t>
  </si>
  <si>
    <t>1. Sales = Sales/Area x Area</t>
  </si>
  <si>
    <t>2. Membership Revenue</t>
  </si>
  <si>
    <t>3. eCommerce Sales</t>
  </si>
  <si>
    <t>Total Revenue (in $ M)</t>
  </si>
  <si>
    <t>Working Capital</t>
  </si>
  <si>
    <t>Dividend</t>
  </si>
  <si>
    <t>BJ Market Cap (as on 6/5/2020)</t>
  </si>
  <si>
    <t># of whses</t>
  </si>
  <si>
    <t># of clubs</t>
  </si>
  <si>
    <t>Revenue (in $ M)</t>
  </si>
  <si>
    <t>Earnings (in $ M)</t>
  </si>
  <si>
    <t>NET INCOME</t>
  </si>
  <si>
    <t>Free Cash Flow to Equity (FCFE)</t>
  </si>
  <si>
    <t>Free Cash Flow to Firm (FCFF)</t>
  </si>
  <si>
    <t>WACC</t>
  </si>
  <si>
    <t>Pre-tax COD</t>
  </si>
  <si>
    <t>UK</t>
  </si>
  <si>
    <t>Asia</t>
  </si>
  <si>
    <t>Other than NA: Equity Risk Premium</t>
  </si>
  <si>
    <t>NA: Equity Risk Premium</t>
  </si>
  <si>
    <t>% Revenue from NA (FY19)</t>
  </si>
  <si>
    <t>Less: Change in Working Capital</t>
  </si>
  <si>
    <t>Less: Capital Expenditure</t>
  </si>
  <si>
    <t xml:space="preserve">      Add:  Depreciation</t>
  </si>
  <si>
    <t>Add:  Net Debt issues</t>
  </si>
  <si>
    <t>Implied Growth in FCFE</t>
  </si>
  <si>
    <t>Assumed Growth after year 5</t>
  </si>
  <si>
    <t>Fair value per share</t>
  </si>
  <si>
    <t>(Implied; Source: Prof. Aswath Damodaran)</t>
  </si>
  <si>
    <t>Cost of Equity</t>
  </si>
  <si>
    <t>% Revenue from regions other than NA (FY19)</t>
  </si>
  <si>
    <t>Sum of Present Value of Equity (in $ M)</t>
  </si>
  <si>
    <t>Present Value (in $ M)</t>
  </si>
  <si>
    <t>All $ figures in Million unless otherwise stated</t>
  </si>
  <si>
    <t>On average operate on a seven-day, 70-hour week</t>
  </si>
  <si>
    <t>Highly dependent on U.S. and Canadian operations, which comprised 87% and 84% of net sales and operating income in 2019, respectively. Within the U.S.,highly dependent on California operations, which comprised 30% of U.S. net sales in 2019.</t>
  </si>
  <si>
    <t>EBIT margin</t>
  </si>
  <si>
    <t>Costco</t>
  </si>
  <si>
    <t>FY19</t>
  </si>
  <si>
    <t>Walmart</t>
  </si>
  <si>
    <t>BJ</t>
  </si>
  <si>
    <t>Target</t>
  </si>
  <si>
    <t>Kroger</t>
  </si>
  <si>
    <t>Membership Fees % of Revenue</t>
  </si>
  <si>
    <t>Net Profit % of Revenue</t>
  </si>
  <si>
    <r>
      <t xml:space="preserve">Carry an average of approximately </t>
    </r>
    <r>
      <rPr>
        <b/>
        <sz val="10"/>
        <color indexed="8"/>
        <rFont val="Helvetica"/>
      </rPr>
      <t>3,700 active stock keeping units (SKUs)</t>
    </r>
    <r>
      <rPr>
        <sz val="10"/>
        <color indexed="0"/>
        <rFont val="Helvetica"/>
      </rPr>
      <t xml:space="preserve"> per warehouse, significantly less than other broadline retailers. 
Many consumable products are offered for sale in case, carton, or multiple-pack quantities only.			</t>
    </r>
  </si>
  <si>
    <t>Cash Cycle</t>
  </si>
  <si>
    <t>Costco sells goods at only 11% gross margin, i.e. at very low prices, which means draws more customers resulting in highest sales / sq. ft (not including Apples of the world)</t>
  </si>
  <si>
    <t>COGS %
(of Net Sales)</t>
  </si>
  <si>
    <t xml:space="preserve">SGA including depreciation stands is ~10%; 99%+ of Net Sales is expense including interest and taxes; </t>
  </si>
  <si>
    <t>Membership revenue (~2.2% of Revenue) constitutes majority of the net profit</t>
  </si>
  <si>
    <t>Operating lease assets (counter asset)</t>
  </si>
  <si>
    <t>Balance?</t>
  </si>
  <si>
    <t>CapEx Addition  (in $ M)</t>
  </si>
  <si>
    <t>Also, add depreciation from the debt asset</t>
  </si>
  <si>
    <t>Interest (in $ M)</t>
  </si>
  <si>
    <t>Days of 
Inventory O/S</t>
  </si>
  <si>
    <t>Days of 
Sales O/S</t>
  </si>
  <si>
    <t>Days of 
Payables O/S</t>
  </si>
  <si>
    <t>Revenue</t>
  </si>
  <si>
    <t xml:space="preserve">Cost </t>
  </si>
  <si>
    <t>Physical sales</t>
  </si>
  <si>
    <t>eCommerce</t>
  </si>
  <si>
    <t>COGS</t>
  </si>
  <si>
    <t>SGA</t>
  </si>
  <si>
    <t>D&amp;A</t>
  </si>
  <si>
    <t>Pre-opening expenses</t>
  </si>
  <si>
    <t>Taxation</t>
  </si>
  <si>
    <t>Receivables</t>
  </si>
  <si>
    <t>Inventory</t>
  </si>
  <si>
    <t>Payables</t>
  </si>
  <si>
    <t>Payout %</t>
  </si>
  <si>
    <t>Depreciation % of PPE</t>
  </si>
  <si>
    <t>Depreciation</t>
  </si>
  <si>
    <t>Treatment of lease obligations as Debt</t>
  </si>
  <si>
    <t>Costco Valuation</t>
  </si>
  <si>
    <t>Gross Margin %</t>
  </si>
  <si>
    <t>Useful life of lease asset (in years)</t>
  </si>
  <si>
    <t>Last 5 year CAGR</t>
  </si>
  <si>
    <t>Average pre-opening expense/whse</t>
  </si>
  <si>
    <t>Last 5 year avg pre-opening expense/whse</t>
  </si>
  <si>
    <t>as on 6/10/2020</t>
  </si>
  <si>
    <t>Appreciation $</t>
  </si>
  <si>
    <t>Appreciation %</t>
  </si>
  <si>
    <t>Return Expectation (CAGR)</t>
  </si>
  <si>
    <t>Add interest expense due to debt lease</t>
  </si>
  <si>
    <t>remove from operating income</t>
  </si>
  <si>
    <t>Add back to operating income</t>
  </si>
  <si>
    <t>Add this amount to debt</t>
  </si>
  <si>
    <t>+ Adjustment (add back debt lease payments)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</si>
</sst>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0;[Red]\(&quot;$&quot;#,##0.00\)"/>
    <numFmt numFmtId="165" formatCode="&quot;$&quot;#,##0;[Red]\(&quot;$&quot;##,#00\)"/>
    <numFmt numFmtId="166" formatCode="#,##0.00;[Red]\(#,##0.00\)"/>
    <numFmt numFmtId="167" formatCode="#,##0;[Red]\(#,##0\)"/>
    <numFmt numFmtId="168" formatCode="0.0%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&quot;$&quot;#,##0.00;[Red]\(&quot;$&quot;##,#00.00\)"/>
    <numFmt numFmtId="173" formatCode="&quot;$&quot;#,##0.00"/>
    <numFmt numFmtId="174" formatCode="&quot;$&quot;#,##0.0"/>
    <numFmt numFmtId="175" formatCode="&quot;$&quot;#,##0"/>
    <numFmt numFmtId="176" formatCode="_(* #,##0.0000_);_(* \(#,##0.0000\);_(* &quot;-&quot;??_);_(@_)"/>
    <numFmt numFmtId="177" formatCode="0.00000%"/>
  </numFmts>
  <fonts count="22" x14ac:knownFonts="1">
    <font>
      <sz val="9"/>
      <color indexed="0"/>
      <name val="Helvetica"/>
    </font>
    <font>
      <sz val="9"/>
      <color indexed="0"/>
      <name val="Courier"/>
    </font>
    <font>
      <sz val="9"/>
      <color indexed="0"/>
      <name val="Courier New"/>
    </font>
    <font>
      <b/>
      <sz val="9"/>
      <color indexed="0"/>
      <name val="Courier New"/>
    </font>
    <font>
      <sz val="9"/>
      <color indexed="0"/>
      <name val="Helvetica"/>
    </font>
    <font>
      <b/>
      <sz val="11"/>
      <color indexed="9"/>
      <name val="Calibri"/>
      <family val="2"/>
    </font>
    <font>
      <b/>
      <sz val="9"/>
      <name val="Helvetica"/>
    </font>
    <font>
      <b/>
      <sz val="9"/>
      <name val="Courier New"/>
      <family val="3"/>
    </font>
    <font>
      <sz val="11"/>
      <color indexed="8"/>
      <name val="Calibri"/>
      <family val="2"/>
      <charset val="1"/>
    </font>
    <font>
      <sz val="9"/>
      <name val="Helvetica"/>
    </font>
    <font>
      <strike/>
      <sz val="9"/>
      <name val="Helvetica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name val="Helvetica"/>
    </font>
    <font>
      <sz val="10"/>
      <color indexed="0"/>
      <name val="Helvetica"/>
    </font>
    <font>
      <b/>
      <sz val="10"/>
      <name val="Helvetica"/>
    </font>
    <font>
      <b/>
      <sz val="10"/>
      <color indexed="8"/>
      <name val="Helvetica"/>
    </font>
    <font>
      <b/>
      <sz val="10"/>
      <color indexed="0"/>
      <name val="Helvetica"/>
    </font>
    <font>
      <b/>
      <sz val="25"/>
      <name val="Helvetica"/>
    </font>
    <font>
      <b/>
      <sz val="11"/>
      <color theme="1"/>
      <name val="Calibri"/>
      <family val="2"/>
    </font>
    <font>
      <b/>
      <sz val="9"/>
      <color theme="0"/>
      <name val="Helvetica"/>
    </font>
    <font>
      <sz val="9"/>
      <color theme="1" tint="0.499984740745262"/>
      <name val="Helvetica"/>
    </font>
  </fonts>
  <fills count="12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3499862666707357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indexed="64"/>
      </bottom>
      <diagonal/>
    </border>
    <border>
      <left/>
      <right style="medium">
        <color theme="0" tint="-0.499984740745262"/>
      </right>
      <top/>
      <bottom style="thin">
        <color indexed="64"/>
      </bottom>
      <diagonal/>
    </border>
    <border>
      <left style="medium">
        <color theme="0" tint="-0.499984740745262"/>
      </left>
      <right/>
      <top style="thin">
        <color indexed="64"/>
      </top>
      <bottom/>
      <diagonal/>
    </border>
    <border>
      <left/>
      <right style="medium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279">
    <xf numFmtId="0" fontId="0" fillId="0" borderId="0" xfId="0"/>
    <xf numFmtId="0" fontId="3" fillId="0" borderId="0" xfId="0" applyFont="1" applyFill="1" applyAlignment="1" applyProtection="1"/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/>
    <xf numFmtId="0" fontId="2" fillId="0" borderId="0" xfId="0" applyNumberFormat="1" applyFont="1" applyFill="1" applyAlignment="1" applyProtection="1">
      <alignment horizontal="right"/>
    </xf>
    <xf numFmtId="167" fontId="2" fillId="0" borderId="0" xfId="0" applyNumberFormat="1" applyFont="1" applyFill="1" applyAlignment="1" applyProtection="1">
      <alignment horizontal="right"/>
    </xf>
    <xf numFmtId="166" fontId="2" fillId="0" borderId="0" xfId="0" applyNumberFormat="1" applyFont="1" applyFill="1" applyAlignment="1" applyProtection="1">
      <alignment horizontal="right"/>
    </xf>
    <xf numFmtId="165" fontId="2" fillId="0" borderId="0" xfId="0" applyNumberFormat="1" applyFont="1" applyFill="1" applyAlignment="1" applyProtection="1">
      <alignment horizontal="right"/>
    </xf>
    <xf numFmtId="164" fontId="2" fillId="0" borderId="0" xfId="0" applyNumberFormat="1" applyFont="1" applyFill="1" applyAlignment="1" applyProtection="1">
      <alignment horizontal="right"/>
    </xf>
    <xf numFmtId="168" fontId="2" fillId="0" borderId="0" xfId="3" applyNumberFormat="1" applyFont="1" applyFill="1" applyAlignment="1" applyProtection="1">
      <alignment horizontal="right"/>
    </xf>
    <xf numFmtId="2" fontId="0" fillId="0" borderId="0" xfId="0" applyNumberFormat="1"/>
    <xf numFmtId="169" fontId="0" fillId="0" borderId="0" xfId="0" applyNumberFormat="1"/>
    <xf numFmtId="1" fontId="0" fillId="0" borderId="0" xfId="0" applyNumberFormat="1"/>
    <xf numFmtId="168" fontId="0" fillId="0" borderId="0" xfId="3" applyNumberFormat="1" applyFont="1"/>
    <xf numFmtId="0" fontId="5" fillId="2" borderId="0" xfId="0" applyFont="1" applyFill="1" applyAlignment="1">
      <alignment horizontal="center"/>
    </xf>
    <xf numFmtId="10" fontId="2" fillId="0" borderId="0" xfId="3" applyNumberFormat="1" applyFont="1" applyFill="1" applyAlignment="1" applyProtection="1">
      <alignment horizontal="right"/>
    </xf>
    <xf numFmtId="172" fontId="0" fillId="0" borderId="0" xfId="0" applyNumberFormat="1"/>
    <xf numFmtId="0" fontId="2" fillId="0" borderId="0" xfId="3" applyNumberFormat="1" applyFont="1" applyFill="1" applyAlignment="1" applyProtection="1">
      <alignment horizontal="right"/>
    </xf>
    <xf numFmtId="175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6" fillId="0" borderId="0" xfId="0" applyFont="1"/>
    <xf numFmtId="165" fontId="0" fillId="3" borderId="0" xfId="0" applyNumberFormat="1" applyFill="1"/>
    <xf numFmtId="0" fontId="6" fillId="3" borderId="0" xfId="0" applyFont="1" applyFill="1"/>
    <xf numFmtId="165" fontId="6" fillId="3" borderId="0" xfId="0" applyNumberFormat="1" applyFont="1" applyFill="1"/>
    <xf numFmtId="165" fontId="0" fillId="0" borderId="0" xfId="0" applyNumberFormat="1"/>
    <xf numFmtId="8" fontId="0" fillId="0" borderId="0" xfId="0" applyNumberFormat="1"/>
    <xf numFmtId="6" fontId="0" fillId="0" borderId="0" xfId="0" applyNumberFormat="1"/>
    <xf numFmtId="9" fontId="0" fillId="0" borderId="0" xfId="3" applyFont="1"/>
    <xf numFmtId="10" fontId="0" fillId="0" borderId="0" xfId="0" applyNumberFormat="1"/>
    <xf numFmtId="168" fontId="0" fillId="4" borderId="0" xfId="0" applyNumberFormat="1" applyFill="1"/>
    <xf numFmtId="165" fontId="6" fillId="0" borderId="0" xfId="0" applyNumberFormat="1" applyFont="1"/>
    <xf numFmtId="165" fontId="0" fillId="3" borderId="1" xfId="0" applyNumberFormat="1" applyFill="1" applyBorder="1"/>
    <xf numFmtId="165" fontId="6" fillId="3" borderId="1" xfId="0" applyNumberFormat="1" applyFont="1" applyFill="1" applyBorder="1"/>
    <xf numFmtId="175" fontId="0" fillId="0" borderId="0" xfId="0" applyNumberFormat="1" applyFill="1"/>
    <xf numFmtId="165" fontId="0" fillId="3" borderId="0" xfId="0" applyNumberFormat="1" applyFill="1" applyBorder="1"/>
    <xf numFmtId="0" fontId="0" fillId="3" borderId="0" xfId="0" applyFill="1" applyBorder="1"/>
    <xf numFmtId="0" fontId="0" fillId="0" borderId="0" xfId="0" applyAlignment="1">
      <alignment horizontal="left" indent="2"/>
    </xf>
    <xf numFmtId="10" fontId="0" fillId="0" borderId="0" xfId="3" applyNumberFormat="1" applyFont="1"/>
    <xf numFmtId="173" fontId="0" fillId="0" borderId="0" xfId="0" applyNumberFormat="1"/>
    <xf numFmtId="174" fontId="0" fillId="0" borderId="0" xfId="0" applyNumberFormat="1" applyFill="1"/>
    <xf numFmtId="165" fontId="9" fillId="5" borderId="1" xfId="0" applyNumberFormat="1" applyFont="1" applyFill="1" applyBorder="1"/>
    <xf numFmtId="168" fontId="0" fillId="0" borderId="1" xfId="3" applyNumberFormat="1" applyFont="1" applyBorder="1"/>
    <xf numFmtId="0" fontId="9" fillId="5" borderId="0" xfId="0" quotePrefix="1" applyFont="1" applyFill="1"/>
    <xf numFmtId="168" fontId="0" fillId="0" borderId="0" xfId="0" applyNumberFormat="1"/>
    <xf numFmtId="14" fontId="0" fillId="0" borderId="0" xfId="0" applyNumberFormat="1"/>
    <xf numFmtId="176" fontId="0" fillId="0" borderId="0" xfId="0" applyNumberFormat="1"/>
    <xf numFmtId="168" fontId="0" fillId="3" borderId="0" xfId="3" applyNumberFormat="1" applyFont="1" applyFill="1" applyBorder="1"/>
    <xf numFmtId="6" fontId="6" fillId="0" borderId="0" xfId="0" applyNumberFormat="1" applyFont="1"/>
    <xf numFmtId="0" fontId="5" fillId="4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168" fontId="4" fillId="5" borderId="0" xfId="3" applyNumberFormat="1" applyFont="1" applyFill="1"/>
    <xf numFmtId="168" fontId="0" fillId="5" borderId="0" xfId="0" applyNumberFormat="1" applyFill="1"/>
    <xf numFmtId="6" fontId="0" fillId="5" borderId="0" xfId="0" applyNumberFormat="1" applyFill="1"/>
    <xf numFmtId="6" fontId="0" fillId="0" borderId="0" xfId="0" applyNumberFormat="1" applyFill="1"/>
    <xf numFmtId="0" fontId="20" fillId="6" borderId="0" xfId="0" applyFont="1" applyFill="1"/>
    <xf numFmtId="0" fontId="6" fillId="3" borderId="0" xfId="0" applyFont="1" applyFill="1" applyBorder="1"/>
    <xf numFmtId="0" fontId="0" fillId="0" borderId="0" xfId="0" applyFill="1"/>
    <xf numFmtId="0" fontId="0" fillId="0" borderId="0" xfId="0" applyBorder="1"/>
    <xf numFmtId="0" fontId="0" fillId="0" borderId="0" xfId="0" applyBorder="1" applyAlignment="1">
      <alignment horizontal="left"/>
    </xf>
    <xf numFmtId="0" fontId="0" fillId="5" borderId="0" xfId="0" applyFill="1" applyBorder="1"/>
    <xf numFmtId="170" fontId="0" fillId="0" borderId="0" xfId="1" applyNumberFormat="1" applyFont="1" applyBorder="1"/>
    <xf numFmtId="170" fontId="0" fillId="0" borderId="0" xfId="0" applyNumberFormat="1" applyBorder="1"/>
    <xf numFmtId="171" fontId="0" fillId="0" borderId="0" xfId="0" applyNumberFormat="1" applyBorder="1"/>
    <xf numFmtId="10" fontId="0" fillId="3" borderId="0" xfId="3" applyNumberFormat="1" applyFont="1" applyFill="1" applyBorder="1"/>
    <xf numFmtId="10" fontId="0" fillId="5" borderId="0" xfId="0" applyNumberFormat="1" applyFill="1" applyBorder="1"/>
    <xf numFmtId="175" fontId="0" fillId="0" borderId="0" xfId="0" applyNumberFormat="1" applyBorder="1"/>
    <xf numFmtId="168" fontId="0" fillId="0" borderId="0" xfId="3" applyNumberFormat="1" applyFont="1" applyBorder="1"/>
    <xf numFmtId="9" fontId="6" fillId="5" borderId="0" xfId="0" applyNumberFormat="1" applyFont="1" applyFill="1" applyBorder="1"/>
    <xf numFmtId="9" fontId="0" fillId="5" borderId="0" xfId="0" applyNumberFormat="1" applyFill="1" applyBorder="1"/>
    <xf numFmtId="169" fontId="0" fillId="0" borderId="0" xfId="0" applyNumberFormat="1" applyBorder="1"/>
    <xf numFmtId="174" fontId="0" fillId="0" borderId="0" xfId="0" applyNumberFormat="1" applyBorder="1"/>
    <xf numFmtId="168" fontId="0" fillId="5" borderId="0" xfId="0" applyNumberFormat="1" applyFill="1" applyBorder="1"/>
    <xf numFmtId="168" fontId="0" fillId="3" borderId="0" xfId="0" applyNumberFormat="1" applyFill="1" applyBorder="1"/>
    <xf numFmtId="175" fontId="0" fillId="5" borderId="0" xfId="0" applyNumberFormat="1" applyFill="1" applyBorder="1"/>
    <xf numFmtId="168" fontId="4" fillId="5" borderId="0" xfId="3" applyNumberFormat="1" applyFont="1" applyFill="1" applyBorder="1"/>
    <xf numFmtId="10" fontId="0" fillId="0" borderId="0" xfId="3" applyNumberFormat="1" applyFont="1" applyBorder="1"/>
    <xf numFmtId="175" fontId="0" fillId="0" borderId="0" xfId="0" applyNumberFormat="1" applyFill="1" applyBorder="1"/>
    <xf numFmtId="1" fontId="0" fillId="0" borderId="0" xfId="0" applyNumberFormat="1" applyBorder="1"/>
    <xf numFmtId="175" fontId="6" fillId="0" borderId="0" xfId="0" applyNumberFormat="1" applyFont="1" applyBorder="1"/>
    <xf numFmtId="1" fontId="0" fillId="3" borderId="0" xfId="0" applyNumberFormat="1" applyFill="1" applyBorder="1"/>
    <xf numFmtId="1" fontId="0" fillId="5" borderId="0" xfId="0" applyNumberFormat="1" applyFill="1" applyBorder="1"/>
    <xf numFmtId="175" fontId="10" fillId="0" borderId="0" xfId="0" applyNumberFormat="1" applyFont="1" applyBorder="1"/>
    <xf numFmtId="0" fontId="8" fillId="0" borderId="0" xfId="2" applyBorder="1"/>
    <xf numFmtId="3" fontId="8" fillId="0" borderId="0" xfId="2" applyNumberFormat="1" applyBorder="1" applyAlignment="1">
      <alignment horizontal="right"/>
    </xf>
    <xf numFmtId="0" fontId="9" fillId="3" borderId="0" xfId="0" applyFont="1" applyFill="1" applyBorder="1"/>
    <xf numFmtId="0" fontId="0" fillId="0" borderId="2" xfId="0" applyBorder="1"/>
    <xf numFmtId="0" fontId="0" fillId="0" borderId="3" xfId="0" applyBorder="1"/>
    <xf numFmtId="175" fontId="0" fillId="0" borderId="4" xfId="0" applyNumberFormat="1" applyBorder="1"/>
    <xf numFmtId="0" fontId="0" fillId="0" borderId="4" xfId="0" applyBorder="1"/>
    <xf numFmtId="6" fontId="0" fillId="9" borderId="0" xfId="0" applyNumberFormat="1" applyFill="1"/>
    <xf numFmtId="43" fontId="0" fillId="0" borderId="0" xfId="1" applyFont="1"/>
    <xf numFmtId="0" fontId="13" fillId="0" borderId="0" xfId="0" applyFont="1" applyAlignment="1">
      <alignment horizontal="left" indent="2"/>
    </xf>
    <xf numFmtId="0" fontId="0" fillId="0" borderId="12" xfId="0" applyBorder="1"/>
    <xf numFmtId="0" fontId="5" fillId="6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9" fillId="7" borderId="12" xfId="0" applyFont="1" applyFill="1" applyBorder="1" applyAlignment="1">
      <alignment horizontal="center"/>
    </xf>
    <xf numFmtId="0" fontId="19" fillId="8" borderId="12" xfId="0" applyFont="1" applyFill="1" applyBorder="1" applyAlignment="1">
      <alignment horizontal="center"/>
    </xf>
    <xf numFmtId="0" fontId="6" fillId="0" borderId="12" xfId="0" applyFont="1" applyBorder="1"/>
    <xf numFmtId="165" fontId="0" fillId="3" borderId="12" xfId="0" applyNumberFormat="1" applyFill="1" applyBorder="1"/>
    <xf numFmtId="0" fontId="13" fillId="0" borderId="12" xfId="0" applyFont="1" applyBorder="1" applyAlignment="1">
      <alignment horizontal="left" indent="2"/>
    </xf>
    <xf numFmtId="0" fontId="0" fillId="0" borderId="12" xfId="0" applyBorder="1" applyAlignment="1">
      <alignment horizontal="left" indent="2"/>
    </xf>
    <xf numFmtId="165" fontId="0" fillId="0" borderId="12" xfId="0" applyNumberFormat="1" applyBorder="1"/>
    <xf numFmtId="165" fontId="6" fillId="0" borderId="12" xfId="0" applyNumberFormat="1" applyFont="1" applyBorder="1"/>
    <xf numFmtId="168" fontId="4" fillId="3" borderId="12" xfId="3" applyNumberFormat="1" applyFont="1" applyFill="1" applyBorder="1"/>
    <xf numFmtId="168" fontId="4" fillId="0" borderId="12" xfId="3" applyNumberFormat="1" applyFont="1" applyBorder="1"/>
    <xf numFmtId="168" fontId="4" fillId="5" borderId="12" xfId="3" applyNumberFormat="1" applyFont="1" applyFill="1" applyBorder="1"/>
    <xf numFmtId="168" fontId="0" fillId="0" borderId="12" xfId="0" applyNumberFormat="1" applyBorder="1"/>
    <xf numFmtId="10" fontId="0" fillId="0" borderId="12" xfId="0" applyNumberFormat="1" applyBorder="1"/>
    <xf numFmtId="6" fontId="0" fillId="0" borderId="12" xfId="0" applyNumberFormat="1" applyBorder="1"/>
    <xf numFmtId="6" fontId="6" fillId="0" borderId="12" xfId="0" applyNumberFormat="1" applyFont="1" applyBorder="1"/>
    <xf numFmtId="1" fontId="0" fillId="0" borderId="12" xfId="0" applyNumberFormat="1" applyBorder="1"/>
    <xf numFmtId="0" fontId="13" fillId="0" borderId="12" xfId="0" applyFont="1" applyFill="1" applyBorder="1"/>
    <xf numFmtId="0" fontId="14" fillId="0" borderId="0" xfId="0" applyFont="1"/>
    <xf numFmtId="10" fontId="14" fillId="0" borderId="0" xfId="0" applyNumberFormat="1" applyFont="1"/>
    <xf numFmtId="168" fontId="14" fillId="0" borderId="0" xfId="3" applyNumberFormat="1" applyFont="1"/>
    <xf numFmtId="0" fontId="14" fillId="0" borderId="0" xfId="0" applyFont="1" applyAlignment="1">
      <alignment horizontal="left" wrapText="1"/>
    </xf>
    <xf numFmtId="9" fontId="14" fillId="0" borderId="0" xfId="0" applyNumberFormat="1" applyFont="1"/>
    <xf numFmtId="0" fontId="14" fillId="0" borderId="12" xfId="0" applyFont="1" applyBorder="1"/>
    <xf numFmtId="0" fontId="15" fillId="0" borderId="12" xfId="0" applyFont="1" applyBorder="1"/>
    <xf numFmtId="3" fontId="14" fillId="0" borderId="12" xfId="0" applyNumberFormat="1" applyFont="1" applyBorder="1"/>
    <xf numFmtId="9" fontId="14" fillId="0" borderId="12" xfId="3" applyFont="1" applyBorder="1"/>
    <xf numFmtId="3" fontId="15" fillId="0" borderId="12" xfId="0" applyNumberFormat="1" applyFont="1" applyBorder="1"/>
    <xf numFmtId="9" fontId="14" fillId="0" borderId="12" xfId="0" applyNumberFormat="1" applyFont="1" applyBorder="1"/>
    <xf numFmtId="0" fontId="14" fillId="0" borderId="0" xfId="0" applyFont="1" applyFill="1" applyAlignment="1">
      <alignment horizontal="left"/>
    </xf>
    <xf numFmtId="0" fontId="14" fillId="0" borderId="0" xfId="0" applyFont="1" applyBorder="1"/>
    <xf numFmtId="9" fontId="14" fillId="0" borderId="0" xfId="0" applyNumberFormat="1" applyFont="1" applyBorder="1"/>
    <xf numFmtId="0" fontId="14" fillId="0" borderId="0" xfId="0" applyFont="1" applyFill="1" applyBorder="1" applyAlignment="1">
      <alignment horizontal="left"/>
    </xf>
    <xf numFmtId="0" fontId="14" fillId="0" borderId="12" xfId="0" applyFont="1" applyBorder="1" applyAlignment="1">
      <alignment horizontal="right" indent="1"/>
    </xf>
    <xf numFmtId="0" fontId="14" fillId="8" borderId="12" xfId="0" applyFont="1" applyFill="1" applyBorder="1" applyAlignment="1">
      <alignment horizontal="right" indent="1"/>
    </xf>
    <xf numFmtId="9" fontId="14" fillId="8" borderId="12" xfId="0" applyNumberFormat="1" applyFont="1" applyFill="1" applyBorder="1"/>
    <xf numFmtId="0" fontId="14" fillId="8" borderId="12" xfId="0" applyFont="1" applyFill="1" applyBorder="1"/>
    <xf numFmtId="0" fontId="15" fillId="0" borderId="12" xfId="0" applyFont="1" applyBorder="1" applyAlignment="1">
      <alignment wrapText="1"/>
    </xf>
    <xf numFmtId="0" fontId="15" fillId="0" borderId="0" xfId="0" applyFont="1" applyBorder="1"/>
    <xf numFmtId="0" fontId="15" fillId="0" borderId="12" xfId="0" applyFont="1" applyBorder="1" applyAlignment="1">
      <alignment horizontal="left"/>
    </xf>
    <xf numFmtId="0" fontId="0" fillId="10" borderId="0" xfId="0" applyFill="1" applyBorder="1"/>
    <xf numFmtId="169" fontId="0" fillId="10" borderId="0" xfId="0" applyNumberFormat="1" applyFill="1" applyBorder="1"/>
    <xf numFmtId="175" fontId="0" fillId="10" borderId="4" xfId="0" applyNumberFormat="1" applyFill="1" applyBorder="1"/>
    <xf numFmtId="175" fontId="0" fillId="10" borderId="0" xfId="0" applyNumberFormat="1" applyFill="1" applyBorder="1"/>
    <xf numFmtId="0" fontId="0" fillId="10" borderId="0" xfId="0" applyFill="1"/>
    <xf numFmtId="0" fontId="6" fillId="0" borderId="0" xfId="0" applyFont="1" applyFill="1"/>
    <xf numFmtId="175" fontId="6" fillId="0" borderId="0" xfId="0" applyNumberFormat="1" applyFont="1" applyFill="1"/>
    <xf numFmtId="0" fontId="6" fillId="0" borderId="13" xfId="0" applyFont="1" applyFill="1" applyBorder="1"/>
    <xf numFmtId="0" fontId="0" fillId="0" borderId="14" xfId="0" applyFill="1" applyBorder="1"/>
    <xf numFmtId="175" fontId="0" fillId="0" borderId="14" xfId="0" applyNumberFormat="1" applyFill="1" applyBorder="1"/>
    <xf numFmtId="0" fontId="0" fillId="0" borderId="15" xfId="0" applyFill="1" applyBorder="1"/>
    <xf numFmtId="0" fontId="6" fillId="0" borderId="16" xfId="0" applyFont="1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6" xfId="0" applyFill="1" applyBorder="1"/>
    <xf numFmtId="175" fontId="0" fillId="0" borderId="17" xfId="0" applyNumberFormat="1" applyFill="1" applyBorder="1"/>
    <xf numFmtId="175" fontId="6" fillId="0" borderId="0" xfId="0" applyNumberFormat="1" applyFont="1" applyFill="1" applyBorder="1"/>
    <xf numFmtId="165" fontId="7" fillId="0" borderId="0" xfId="0" applyNumberFormat="1" applyFont="1" applyFill="1" applyBorder="1" applyAlignment="1" applyProtection="1"/>
    <xf numFmtId="165" fontId="0" fillId="0" borderId="0" xfId="0" applyNumberFormat="1" applyFill="1" applyBorder="1"/>
    <xf numFmtId="0" fontId="6" fillId="0" borderId="18" xfId="0" applyFont="1" applyFill="1" applyBorder="1"/>
    <xf numFmtId="175" fontId="6" fillId="0" borderId="19" xfId="0" applyNumberFormat="1" applyFont="1" applyFill="1" applyBorder="1"/>
    <xf numFmtId="175" fontId="0" fillId="0" borderId="15" xfId="0" applyNumberFormat="1" applyFill="1" applyBorder="1"/>
    <xf numFmtId="0" fontId="9" fillId="0" borderId="16" xfId="0" applyFont="1" applyFill="1" applyBorder="1"/>
    <xf numFmtId="165" fontId="0" fillId="10" borderId="0" xfId="0" applyNumberFormat="1" applyFill="1" applyBorder="1"/>
    <xf numFmtId="165" fontId="6" fillId="0" borderId="0" xfId="0" applyNumberFormat="1" applyFont="1" applyFill="1" applyBorder="1"/>
    <xf numFmtId="165" fontId="6" fillId="10" borderId="0" xfId="0" applyNumberFormat="1" applyFont="1" applyFill="1" applyBorder="1"/>
    <xf numFmtId="165" fontId="6" fillId="0" borderId="19" xfId="0" applyNumberFormat="1" applyFont="1" applyFill="1" applyBorder="1"/>
    <xf numFmtId="165" fontId="6" fillId="0" borderId="20" xfId="0" applyNumberFormat="1" applyFont="1" applyFill="1" applyBorder="1"/>
    <xf numFmtId="0" fontId="5" fillId="11" borderId="0" xfId="0" applyFont="1" applyFill="1" applyAlignment="1">
      <alignment horizontal="center"/>
    </xf>
    <xf numFmtId="165" fontId="0" fillId="10" borderId="1" xfId="0" applyNumberFormat="1" applyFill="1" applyBorder="1"/>
    <xf numFmtId="3" fontId="0" fillId="10" borderId="0" xfId="0" applyNumberFormat="1" applyFill="1"/>
    <xf numFmtId="3" fontId="6" fillId="10" borderId="0" xfId="0" applyNumberFormat="1" applyFont="1" applyFill="1"/>
    <xf numFmtId="0" fontId="17" fillId="0" borderId="12" xfId="0" applyFont="1" applyBorder="1" applyAlignment="1">
      <alignment wrapText="1"/>
    </xf>
    <xf numFmtId="0" fontId="15" fillId="0" borderId="0" xfId="0" applyFont="1"/>
    <xf numFmtId="175" fontId="21" fillId="0" borderId="0" xfId="0" applyNumberFormat="1" applyFont="1" applyBorder="1"/>
    <xf numFmtId="0" fontId="21" fillId="0" borderId="0" xfId="0" applyFont="1" applyBorder="1"/>
    <xf numFmtId="168" fontId="21" fillId="0" borderId="0" xfId="3" applyNumberFormat="1" applyFont="1" applyBorder="1"/>
    <xf numFmtId="169" fontId="21" fillId="0" borderId="0" xfId="0" applyNumberFormat="1" applyFont="1" applyBorder="1"/>
    <xf numFmtId="3" fontId="21" fillId="0" borderId="0" xfId="0" applyNumberFormat="1" applyFont="1" applyBorder="1"/>
    <xf numFmtId="2" fontId="21" fillId="0" borderId="0" xfId="0" applyNumberFormat="1" applyFont="1" applyBorder="1"/>
    <xf numFmtId="9" fontId="21" fillId="0" borderId="0" xfId="3" applyFont="1" applyBorder="1"/>
    <xf numFmtId="9" fontId="0" fillId="0" borderId="0" xfId="0" applyNumberFormat="1" applyBorder="1"/>
    <xf numFmtId="0" fontId="0" fillId="5" borderId="16" xfId="0" applyFill="1" applyBorder="1"/>
    <xf numFmtId="175" fontId="6" fillId="5" borderId="0" xfId="0" applyNumberFormat="1" applyFont="1" applyFill="1" applyBorder="1"/>
    <xf numFmtId="175" fontId="9" fillId="5" borderId="0" xfId="0" applyNumberFormat="1" applyFont="1" applyFill="1" applyBorder="1"/>
    <xf numFmtId="0" fontId="0" fillId="0" borderId="16" xfId="0" applyBorder="1"/>
    <xf numFmtId="175" fontId="0" fillId="0" borderId="17" xfId="0" applyNumberFormat="1" applyBorder="1"/>
    <xf numFmtId="0" fontId="0" fillId="0" borderId="17" xfId="0" applyBorder="1"/>
    <xf numFmtId="0" fontId="0" fillId="0" borderId="18" xfId="0" applyBorder="1"/>
    <xf numFmtId="0" fontId="10" fillId="0" borderId="16" xfId="0" applyFont="1" applyBorder="1"/>
    <xf numFmtId="175" fontId="10" fillId="0" borderId="17" xfId="0" applyNumberFormat="1" applyFont="1" applyBorder="1"/>
    <xf numFmtId="175" fontId="0" fillId="0" borderId="19" xfId="0" applyNumberFormat="1" applyBorder="1"/>
    <xf numFmtId="175" fontId="6" fillId="0" borderId="19" xfId="0" applyNumberFormat="1" applyFont="1" applyBorder="1"/>
    <xf numFmtId="175" fontId="0" fillId="0" borderId="20" xfId="0" applyNumberFormat="1" applyBorder="1"/>
    <xf numFmtId="175" fontId="13" fillId="0" borderId="0" xfId="0" applyNumberFormat="1" applyFont="1" applyBorder="1"/>
    <xf numFmtId="0" fontId="18" fillId="0" borderId="0" xfId="0" applyFont="1"/>
    <xf numFmtId="0" fontId="0" fillId="0" borderId="13" xfId="0" applyBorder="1"/>
    <xf numFmtId="0" fontId="0" fillId="0" borderId="14" xfId="0" applyBorder="1"/>
    <xf numFmtId="0" fontId="0" fillId="0" borderId="16" xfId="0" applyBorder="1" applyAlignment="1">
      <alignment horizontal="left"/>
    </xf>
    <xf numFmtId="0" fontId="0" fillId="5" borderId="17" xfId="0" applyFill="1" applyBorder="1"/>
    <xf numFmtId="0" fontId="0" fillId="3" borderId="16" xfId="0" applyFill="1" applyBorder="1"/>
    <xf numFmtId="10" fontId="0" fillId="5" borderId="17" xfId="0" applyNumberFormat="1" applyFill="1" applyBorder="1"/>
    <xf numFmtId="0" fontId="21" fillId="0" borderId="16" xfId="0" applyFont="1" applyBorder="1"/>
    <xf numFmtId="175" fontId="21" fillId="0" borderId="17" xfId="0" applyNumberFormat="1" applyFont="1" applyBorder="1"/>
    <xf numFmtId="168" fontId="21" fillId="0" borderId="17" xfId="3" applyNumberFormat="1" applyFont="1" applyBorder="1"/>
    <xf numFmtId="9" fontId="0" fillId="5" borderId="17" xfId="0" applyNumberFormat="1" applyFill="1" applyBorder="1"/>
    <xf numFmtId="0" fontId="6" fillId="0" borderId="18" xfId="0" applyFont="1" applyBorder="1"/>
    <xf numFmtId="169" fontId="0" fillId="0" borderId="17" xfId="0" applyNumberFormat="1" applyBorder="1"/>
    <xf numFmtId="174" fontId="0" fillId="0" borderId="17" xfId="0" applyNumberFormat="1" applyBorder="1"/>
    <xf numFmtId="168" fontId="0" fillId="5" borderId="17" xfId="0" applyNumberFormat="1" applyFill="1" applyBorder="1"/>
    <xf numFmtId="168" fontId="4" fillId="0" borderId="17" xfId="3" applyNumberFormat="1" applyFont="1" applyBorder="1"/>
    <xf numFmtId="0" fontId="6" fillId="0" borderId="16" xfId="0" applyFont="1" applyBorder="1"/>
    <xf numFmtId="0" fontId="0" fillId="0" borderId="21" xfId="0" applyBorder="1"/>
    <xf numFmtId="0" fontId="0" fillId="0" borderId="22" xfId="0" applyBorder="1"/>
    <xf numFmtId="0" fontId="9" fillId="0" borderId="16" xfId="0" applyFont="1" applyBorder="1"/>
    <xf numFmtId="168" fontId="4" fillId="0" borderId="19" xfId="3" applyNumberFormat="1" applyFont="1" applyBorder="1"/>
    <xf numFmtId="168" fontId="4" fillId="5" borderId="17" xfId="3" applyNumberFormat="1" applyFont="1" applyFill="1" applyBorder="1"/>
    <xf numFmtId="0" fontId="0" fillId="3" borderId="18" xfId="0" applyFill="1" applyBorder="1"/>
    <xf numFmtId="168" fontId="4" fillId="3" borderId="19" xfId="3" applyNumberFormat="1" applyFont="1" applyFill="1" applyBorder="1"/>
    <xf numFmtId="9" fontId="0" fillId="5" borderId="19" xfId="0" applyNumberFormat="1" applyFill="1" applyBorder="1"/>
    <xf numFmtId="9" fontId="0" fillId="5" borderId="20" xfId="0" applyNumberFormat="1" applyFill="1" applyBorder="1"/>
    <xf numFmtId="1" fontId="0" fillId="5" borderId="17" xfId="0" applyNumberFormat="1" applyFill="1" applyBorder="1"/>
    <xf numFmtId="0" fontId="9" fillId="3" borderId="16" xfId="0" applyFont="1" applyFill="1" applyBorder="1"/>
    <xf numFmtId="0" fontId="0" fillId="3" borderId="19" xfId="0" applyFill="1" applyBorder="1"/>
    <xf numFmtId="165" fontId="0" fillId="3" borderId="19" xfId="0" applyNumberFormat="1" applyFill="1" applyBorder="1"/>
    <xf numFmtId="10" fontId="0" fillId="0" borderId="0" xfId="0" applyNumberFormat="1" applyFill="1" applyBorder="1"/>
    <xf numFmtId="0" fontId="6" fillId="8" borderId="13" xfId="0" applyFont="1" applyFill="1" applyBorder="1" applyAlignment="1"/>
    <xf numFmtId="0" fontId="6" fillId="8" borderId="14" xfId="0" applyFont="1" applyFill="1" applyBorder="1" applyAlignment="1"/>
    <xf numFmtId="0" fontId="6" fillId="8" borderId="15" xfId="0" applyFont="1" applyFill="1" applyBorder="1" applyAlignment="1"/>
    <xf numFmtId="0" fontId="6" fillId="8" borderId="23" xfId="0" applyFont="1" applyFill="1" applyBorder="1" applyAlignment="1"/>
    <xf numFmtId="0" fontId="6" fillId="8" borderId="5" xfId="0" applyFont="1" applyFill="1" applyBorder="1" applyAlignment="1"/>
    <xf numFmtId="0" fontId="6" fillId="8" borderId="24" xfId="0" applyFont="1" applyFill="1" applyBorder="1" applyAlignment="1"/>
    <xf numFmtId="173" fontId="0" fillId="0" borderId="0" xfId="0" applyNumberFormat="1" applyBorder="1"/>
    <xf numFmtId="173" fontId="0" fillId="5" borderId="0" xfId="0" applyNumberFormat="1" applyFill="1" applyBorder="1"/>
    <xf numFmtId="0" fontId="13" fillId="0" borderId="0" xfId="0" applyFont="1" applyBorder="1"/>
    <xf numFmtId="175" fontId="6" fillId="0" borderId="17" xfId="0" applyNumberFormat="1" applyFont="1" applyFill="1" applyBorder="1"/>
    <xf numFmtId="175" fontId="0" fillId="5" borderId="17" xfId="0" applyNumberFormat="1" applyFill="1" applyBorder="1"/>
    <xf numFmtId="165" fontId="6" fillId="0" borderId="17" xfId="0" applyNumberFormat="1" applyFont="1" applyFill="1" applyBorder="1"/>
    <xf numFmtId="165" fontId="0" fillId="0" borderId="17" xfId="0" applyNumberFormat="1" applyFill="1" applyBorder="1"/>
    <xf numFmtId="175" fontId="9" fillId="5" borderId="17" xfId="0" applyNumberFormat="1" applyFont="1" applyFill="1" applyBorder="1"/>
    <xf numFmtId="175" fontId="6" fillId="0" borderId="20" xfId="0" applyNumberFormat="1" applyFont="1" applyFill="1" applyBorder="1"/>
    <xf numFmtId="175" fontId="6" fillId="0" borderId="17" xfId="0" applyNumberFormat="1" applyFont="1" applyBorder="1"/>
    <xf numFmtId="165" fontId="0" fillId="3" borderId="17" xfId="0" applyNumberFormat="1" applyFill="1" applyBorder="1"/>
    <xf numFmtId="165" fontId="0" fillId="3" borderId="20" xfId="0" applyNumberFormat="1" applyFill="1" applyBorder="1"/>
    <xf numFmtId="0" fontId="0" fillId="0" borderId="15" xfId="0" applyBorder="1"/>
    <xf numFmtId="170" fontId="4" fillId="0" borderId="17" xfId="1" applyNumberFormat="1" applyFont="1" applyBorder="1"/>
    <xf numFmtId="170" fontId="0" fillId="0" borderId="17" xfId="0" applyNumberFormat="1" applyBorder="1"/>
    <xf numFmtId="171" fontId="0" fillId="0" borderId="17" xfId="0" applyNumberFormat="1" applyBorder="1"/>
    <xf numFmtId="168" fontId="4" fillId="3" borderId="17" xfId="3" applyNumberFormat="1" applyFont="1" applyFill="1" applyBorder="1"/>
    <xf numFmtId="168" fontId="4" fillId="0" borderId="17" xfId="3" applyNumberFormat="1" applyFont="1" applyBorder="1"/>
    <xf numFmtId="169" fontId="21" fillId="0" borderId="17" xfId="0" applyNumberFormat="1" applyFont="1" applyBorder="1"/>
    <xf numFmtId="3" fontId="21" fillId="0" borderId="17" xfId="0" applyNumberFormat="1" applyFont="1" applyBorder="1"/>
    <xf numFmtId="2" fontId="21" fillId="0" borderId="17" xfId="0" applyNumberFormat="1" applyFont="1" applyBorder="1"/>
    <xf numFmtId="9" fontId="21" fillId="0" borderId="17" xfId="3" applyFont="1" applyBorder="1"/>
    <xf numFmtId="175" fontId="0" fillId="0" borderId="22" xfId="0" applyNumberFormat="1" applyBorder="1"/>
    <xf numFmtId="168" fontId="4" fillId="0" borderId="20" xfId="3" applyNumberFormat="1" applyFont="1" applyBorder="1"/>
    <xf numFmtId="173" fontId="0" fillId="5" borderId="17" xfId="0" applyNumberFormat="1" applyFill="1" applyBorder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6" fillId="8" borderId="6" xfId="0" applyFont="1" applyFill="1" applyBorder="1" applyAlignment="1">
      <alignment horizontal="left"/>
    </xf>
    <xf numFmtId="0" fontId="6" fillId="8" borderId="7" xfId="0" applyFont="1" applyFill="1" applyBorder="1" applyAlignment="1">
      <alignment horizontal="left"/>
    </xf>
    <xf numFmtId="0" fontId="6" fillId="8" borderId="8" xfId="0" applyFont="1" applyFill="1" applyBorder="1" applyAlignment="1">
      <alignment horizontal="left"/>
    </xf>
    <xf numFmtId="165" fontId="0" fillId="3" borderId="9" xfId="0" applyNumberFormat="1" applyFill="1" applyBorder="1" applyAlignment="1">
      <alignment horizontal="center"/>
    </xf>
    <xf numFmtId="165" fontId="0" fillId="3" borderId="10" xfId="0" applyNumberFormat="1" applyFill="1" applyBorder="1" applyAlignment="1">
      <alignment horizontal="center"/>
    </xf>
    <xf numFmtId="165" fontId="0" fillId="3" borderId="11" xfId="0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Fill="1" applyBorder="1" applyAlignment="1">
      <alignment horizontal="center"/>
    </xf>
    <xf numFmtId="177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0" xfId="0" applyBorder="1" applyAlignment="1">
      <alignment horizontal="left"/>
    </xf>
    <xf numFmtId="0" fontId="20" fillId="6" borderId="0" xfId="0" applyFont="1" applyFill="1" applyAlignment="1">
      <alignment horizontal="left"/>
    </xf>
  </cellXfs>
  <cellStyles count="4">
    <cellStyle name="Comma" xfId="1" builtinId="3"/>
    <cellStyle name="Normal" xfId="0" builtinId="0"/>
    <cellStyle name="Normal 2" xfId="2" xr:uid="{00000000-0005-0000-0000-000002000000}"/>
    <cellStyle name="Percent" xfId="3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63500</xdr:rowOff>
    </xdr:from>
    <xdr:to>
      <xdr:col>12</xdr:col>
      <xdr:colOff>984250</xdr:colOff>
      <xdr:row>8</xdr:row>
      <xdr:rowOff>120650</xdr:rowOff>
    </xdr:to>
    <xdr:pic>
      <xdr:nvPicPr>
        <xdr:cNvPr id="64824" name="Picture 1">
          <a:extLst>
            <a:ext uri="{FF2B5EF4-FFF2-40B4-BE49-F238E27FC236}">
              <a16:creationId xmlns:a16="http://schemas.microsoft.com/office/drawing/2014/main" id="{FFB9EFED-CBD3-48ED-8836-260AFF46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00"/>
          <a:ext cx="73152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workbookViewId="0">
      <selection activeCell="H23" sqref="H23"/>
    </sheetView>
  </sheetViews>
  <sheetFormatPr defaultColWidth="10.3984375" defaultRowHeight="11.5" x14ac:dyDescent="0.25"/>
  <cols>
    <col min="1" max="1" width="2.09765625" customWidth="1"/>
    <col min="2" max="2" width="47.3984375" customWidth="1"/>
  </cols>
  <sheetData>
    <row r="1" spans="1:2" ht="12" x14ac:dyDescent="0.3">
      <c r="A1" s="1" t="s">
        <v>0</v>
      </c>
    </row>
    <row r="2" spans="1:2" ht="12" x14ac:dyDescent="0.3">
      <c r="A2" s="1" t="s">
        <v>1</v>
      </c>
    </row>
    <row r="3" spans="1:2" ht="12" x14ac:dyDescent="0.3">
      <c r="A3" s="1" t="s">
        <v>2</v>
      </c>
    </row>
    <row r="4" spans="1:2" ht="12" x14ac:dyDescent="0.3">
      <c r="A4" s="2" t="s">
        <v>3</v>
      </c>
    </row>
    <row r="5" spans="1:2" ht="12" x14ac:dyDescent="0.3">
      <c r="A5" s="1" t="s">
        <v>4</v>
      </c>
    </row>
    <row r="6" spans="1:2" ht="12" x14ac:dyDescent="0.3">
      <c r="A6" s="2" t="s">
        <v>3</v>
      </c>
    </row>
    <row r="7" spans="1:2" ht="12" x14ac:dyDescent="0.3">
      <c r="A7" s="2" t="s">
        <v>3</v>
      </c>
    </row>
    <row r="8" spans="1:2" ht="12" x14ac:dyDescent="0.3">
      <c r="A8" s="2" t="s">
        <v>3</v>
      </c>
    </row>
    <row r="9" spans="1:2" ht="12" x14ac:dyDescent="0.3">
      <c r="A9" s="2" t="s">
        <v>3</v>
      </c>
    </row>
    <row r="10" spans="1:2" ht="12" x14ac:dyDescent="0.3">
      <c r="A10" s="2" t="s">
        <v>3</v>
      </c>
      <c r="B10" s="2" t="s">
        <v>3</v>
      </c>
    </row>
    <row r="11" spans="1:2" ht="12" x14ac:dyDescent="0.3">
      <c r="A11" s="3" t="s">
        <v>5</v>
      </c>
      <c r="B11" s="3" t="s">
        <v>6</v>
      </c>
    </row>
    <row r="12" spans="1:2" ht="12" x14ac:dyDescent="0.3">
      <c r="A12" s="2" t="s">
        <v>3</v>
      </c>
      <c r="B12" s="3" t="s">
        <v>7</v>
      </c>
    </row>
    <row r="13" spans="1:2" ht="12" x14ac:dyDescent="0.3">
      <c r="A13" s="2" t="s">
        <v>3</v>
      </c>
      <c r="B13" s="4">
        <v>1934</v>
      </c>
    </row>
    <row r="14" spans="1:2" ht="12" x14ac:dyDescent="0.3">
      <c r="A14" s="2" t="s">
        <v>3</v>
      </c>
    </row>
    <row r="15" spans="1:2" ht="12" x14ac:dyDescent="0.3">
      <c r="A15" s="2" t="s">
        <v>3</v>
      </c>
    </row>
    <row r="16" spans="1:2" ht="12" x14ac:dyDescent="0.3">
      <c r="A16" s="1" t="s">
        <v>8</v>
      </c>
    </row>
    <row r="17" spans="1:1" ht="12" x14ac:dyDescent="0.3">
      <c r="A17" s="1" t="s">
        <v>9</v>
      </c>
    </row>
    <row r="18" spans="1:1" ht="12" x14ac:dyDescent="0.3">
      <c r="A18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</sheetPr>
  <dimension ref="B1:AD25"/>
  <sheetViews>
    <sheetView showGridLines="0" workbookViewId="0">
      <selection activeCell="K15" sqref="K15"/>
    </sheetView>
  </sheetViews>
  <sheetFormatPr defaultRowHeight="12.5" x14ac:dyDescent="0.25"/>
  <cols>
    <col min="1" max="1" width="1.59765625" style="115" customWidth="1"/>
    <col min="2" max="2" width="17.19921875" style="115" customWidth="1"/>
    <col min="3" max="3" width="52" style="115" hidden="1" customWidth="1"/>
    <col min="4" max="5" width="0" style="115" hidden="1" customWidth="1"/>
    <col min="6" max="6" width="7.19921875" style="115" hidden="1" customWidth="1"/>
    <col min="7" max="8" width="14.3984375" style="115" customWidth="1"/>
    <col min="9" max="9" width="14" style="115" customWidth="1"/>
    <col min="10" max="10" width="12.796875" style="115" customWidth="1"/>
    <col min="11" max="11" width="13.796875" style="115" customWidth="1"/>
    <col min="12" max="12" width="11.5" style="115" customWidth="1"/>
    <col min="13" max="13" width="18" style="115" customWidth="1"/>
    <col min="14" max="14" width="32.59765625" style="115" hidden="1" customWidth="1"/>
    <col min="15" max="15" width="13.296875" style="115" hidden="1" customWidth="1"/>
    <col min="16" max="16" width="15.59765625" style="115" hidden="1" customWidth="1"/>
    <col min="17" max="17" width="18.8984375" style="115" hidden="1" customWidth="1"/>
    <col min="18" max="16384" width="8.796875" style="115"/>
  </cols>
  <sheetData>
    <row r="1" spans="2:30" ht="14" customHeight="1" x14ac:dyDescent="0.25"/>
    <row r="3" spans="2:30" x14ac:dyDescent="0.25">
      <c r="AC3" s="115" t="s">
        <v>814</v>
      </c>
      <c r="AD3" s="116">
        <v>6.9000000000000006E-2</v>
      </c>
    </row>
    <row r="4" spans="2:30" x14ac:dyDescent="0.25">
      <c r="AC4" s="115" t="s">
        <v>152</v>
      </c>
      <c r="AD4" s="116">
        <v>8.2000000000000003E-2</v>
      </c>
    </row>
    <row r="5" spans="2:30" x14ac:dyDescent="0.25">
      <c r="AC5" s="115" t="s">
        <v>815</v>
      </c>
      <c r="AD5" s="116">
        <v>7.0999999999999994E-2</v>
      </c>
    </row>
    <row r="6" spans="2:30" x14ac:dyDescent="0.25">
      <c r="AC6" s="115" t="s">
        <v>154</v>
      </c>
      <c r="AD6" s="116">
        <v>7.2999999999999995E-2</v>
      </c>
    </row>
    <row r="7" spans="2:30" x14ac:dyDescent="0.25">
      <c r="AC7" s="115" t="s">
        <v>155</v>
      </c>
      <c r="AD7" s="116">
        <v>6.9000000000000006E-2</v>
      </c>
    </row>
    <row r="8" spans="2:30" x14ac:dyDescent="0.25">
      <c r="AC8" s="115" t="s">
        <v>156</v>
      </c>
      <c r="AD8" s="116">
        <v>7.0999999999999994E-2</v>
      </c>
    </row>
    <row r="10" spans="2:30" ht="29" customHeight="1" x14ac:dyDescent="0.3">
      <c r="B10" s="121" t="s">
        <v>836</v>
      </c>
      <c r="C10" s="121"/>
      <c r="D10" s="121"/>
      <c r="E10" s="121"/>
      <c r="F10" s="121"/>
      <c r="G10" s="134" t="s">
        <v>846</v>
      </c>
      <c r="H10" s="134" t="s">
        <v>874</v>
      </c>
      <c r="I10" s="134" t="s">
        <v>854</v>
      </c>
      <c r="J10" s="169" t="s">
        <v>855</v>
      </c>
      <c r="K10" s="169" t="s">
        <v>856</v>
      </c>
      <c r="M10" s="121"/>
      <c r="N10" s="120"/>
      <c r="O10" s="120"/>
      <c r="P10" s="120"/>
      <c r="Q10" s="120"/>
      <c r="R10" s="136" t="s">
        <v>793</v>
      </c>
      <c r="S10" s="136"/>
      <c r="T10" s="136"/>
    </row>
    <row r="11" spans="2:30" ht="13" x14ac:dyDescent="0.3">
      <c r="B11" s="133" t="s">
        <v>835</v>
      </c>
      <c r="C11" s="133"/>
      <c r="D11" s="133"/>
      <c r="E11" s="133"/>
      <c r="F11" s="133"/>
      <c r="G11" s="132">
        <v>0.89</v>
      </c>
      <c r="H11" s="132">
        <f>1-G11</f>
        <v>0.10999999999999999</v>
      </c>
      <c r="I11" s="131">
        <v>31</v>
      </c>
      <c r="J11" s="131">
        <v>4</v>
      </c>
      <c r="K11" s="131">
        <v>32</v>
      </c>
      <c r="M11" s="120"/>
      <c r="N11" s="120"/>
      <c r="O11" s="121">
        <v>2017</v>
      </c>
      <c r="P11" s="121">
        <v>2018</v>
      </c>
      <c r="Q11" s="121">
        <v>2019</v>
      </c>
      <c r="R11" s="121">
        <v>2017</v>
      </c>
      <c r="S11" s="121">
        <v>2018</v>
      </c>
      <c r="T11" s="121">
        <v>2019</v>
      </c>
    </row>
    <row r="12" spans="2:30" ht="13" customHeight="1" x14ac:dyDescent="0.25">
      <c r="B12" s="120" t="s">
        <v>838</v>
      </c>
      <c r="C12" s="120"/>
      <c r="D12" s="120"/>
      <c r="E12" s="120"/>
      <c r="F12" s="120"/>
      <c r="G12" s="125">
        <f>10764/12888.6</f>
        <v>0.83515665006284623</v>
      </c>
      <c r="H12" s="125">
        <f>1-G12</f>
        <v>0.16484334993715377</v>
      </c>
      <c r="I12" s="130">
        <v>42</v>
      </c>
      <c r="J12" s="130">
        <v>6</v>
      </c>
      <c r="K12" s="130">
        <v>73</v>
      </c>
      <c r="M12" s="100" t="s">
        <v>569</v>
      </c>
      <c r="N12" s="120" t="s">
        <v>772</v>
      </c>
      <c r="O12" s="122">
        <v>52362</v>
      </c>
      <c r="P12" s="122">
        <v>56073</v>
      </c>
      <c r="Q12" s="122">
        <v>59672</v>
      </c>
      <c r="R12" s="123">
        <f t="shared" ref="R12:T16" si="0">O12/R$17</f>
        <v>0.41500491392702027</v>
      </c>
      <c r="S12" s="123">
        <f t="shared" si="0"/>
        <v>0.40505222705404742</v>
      </c>
      <c r="T12" s="123">
        <f t="shared" si="0"/>
        <v>0.39954201846656534</v>
      </c>
    </row>
    <row r="13" spans="2:30" x14ac:dyDescent="0.25">
      <c r="B13" s="120" t="s">
        <v>839</v>
      </c>
      <c r="C13" s="120"/>
      <c r="D13" s="120"/>
      <c r="E13" s="120"/>
      <c r="F13" s="120"/>
      <c r="G13" s="125">
        <v>0.81</v>
      </c>
      <c r="H13" s="125">
        <f>1-G13</f>
        <v>0.18999999999999995</v>
      </c>
      <c r="I13" s="130">
        <v>33</v>
      </c>
      <c r="J13" s="130">
        <v>7</v>
      </c>
      <c r="K13" s="130">
        <v>65</v>
      </c>
      <c r="M13" s="100" t="s">
        <v>570</v>
      </c>
      <c r="N13" s="120" t="s">
        <v>771</v>
      </c>
      <c r="O13" s="122">
        <v>20583</v>
      </c>
      <c r="P13" s="122">
        <v>22620</v>
      </c>
      <c r="Q13" s="122">
        <v>24570</v>
      </c>
      <c r="R13" s="123">
        <f t="shared" si="0"/>
        <v>0.16313445138382526</v>
      </c>
      <c r="S13" s="123">
        <f t="shared" si="0"/>
        <v>0.16339916494502796</v>
      </c>
      <c r="T13" s="123">
        <f t="shared" si="0"/>
        <v>0.16451178766797678</v>
      </c>
      <c r="W13" s="126"/>
    </row>
    <row r="14" spans="2:30" x14ac:dyDescent="0.25">
      <c r="B14" s="120" t="s">
        <v>837</v>
      </c>
      <c r="C14" s="120"/>
      <c r="D14" s="120"/>
      <c r="E14" s="120"/>
      <c r="F14" s="120"/>
      <c r="G14" s="125">
        <v>0.73099999999999998</v>
      </c>
      <c r="H14" s="125">
        <f>1-G14</f>
        <v>0.26900000000000002</v>
      </c>
      <c r="I14" s="130">
        <v>39</v>
      </c>
      <c r="J14" s="130">
        <v>78</v>
      </c>
      <c r="K14" s="130">
        <v>66</v>
      </c>
      <c r="M14" s="100" t="s">
        <v>571</v>
      </c>
      <c r="N14" s="120" t="s">
        <v>770</v>
      </c>
      <c r="O14" s="122">
        <v>17849</v>
      </c>
      <c r="P14" s="122">
        <v>18879</v>
      </c>
      <c r="Q14" s="122">
        <v>19948</v>
      </c>
      <c r="R14" s="123">
        <f t="shared" si="0"/>
        <v>0.14146561836223567</v>
      </c>
      <c r="S14" s="123">
        <f t="shared" si="0"/>
        <v>0.13637545689642719</v>
      </c>
      <c r="T14" s="123">
        <f t="shared" si="0"/>
        <v>0.13356455597886857</v>
      </c>
    </row>
    <row r="15" spans="2:30" x14ac:dyDescent="0.25">
      <c r="B15" s="120" t="s">
        <v>840</v>
      </c>
      <c r="C15" s="120"/>
      <c r="D15" s="120"/>
      <c r="E15" s="120"/>
      <c r="F15" s="120"/>
      <c r="G15" s="125">
        <v>0.7</v>
      </c>
      <c r="H15" s="125">
        <f>1-G15</f>
        <v>0.30000000000000004</v>
      </c>
      <c r="I15" s="130">
        <v>58</v>
      </c>
      <c r="J15" s="130">
        <v>0</v>
      </c>
      <c r="K15" s="130">
        <v>63</v>
      </c>
      <c r="M15" s="100" t="s">
        <v>572</v>
      </c>
      <c r="N15" s="120" t="s">
        <v>769</v>
      </c>
      <c r="O15" s="122">
        <v>14537</v>
      </c>
      <c r="P15" s="122">
        <v>15387</v>
      </c>
      <c r="Q15" s="122">
        <v>16590</v>
      </c>
      <c r="R15" s="123">
        <f t="shared" si="0"/>
        <v>0.11521573724756681</v>
      </c>
      <c r="S15" s="123">
        <f t="shared" si="0"/>
        <v>0.11115043992082869</v>
      </c>
      <c r="T15" s="123">
        <f t="shared" si="0"/>
        <v>0.11108060876726637</v>
      </c>
      <c r="U15" s="126"/>
      <c r="V15" s="126"/>
    </row>
    <row r="16" spans="2:30" x14ac:dyDescent="0.25">
      <c r="M16" s="100" t="s">
        <v>573</v>
      </c>
      <c r="N16" s="120" t="s">
        <v>768</v>
      </c>
      <c r="O16" s="122">
        <v>20841</v>
      </c>
      <c r="P16" s="122">
        <v>25475</v>
      </c>
      <c r="Q16" s="122">
        <v>28571</v>
      </c>
      <c r="R16" s="123">
        <f t="shared" si="0"/>
        <v>0.16517927907935201</v>
      </c>
      <c r="S16" s="123">
        <f t="shared" si="0"/>
        <v>0.18402271118366875</v>
      </c>
      <c r="T16" s="123">
        <f t="shared" si="0"/>
        <v>0.19130102911932292</v>
      </c>
    </row>
    <row r="17" spans="2:22" ht="13" x14ac:dyDescent="0.3">
      <c r="M17" s="100" t="s">
        <v>794</v>
      </c>
      <c r="N17" s="120"/>
      <c r="O17" s="120"/>
      <c r="P17" s="120"/>
      <c r="Q17" s="120"/>
      <c r="R17" s="124">
        <f>SUM(O12:O16)</f>
        <v>126172</v>
      </c>
      <c r="S17" s="124">
        <f>SUM(P12:P16)</f>
        <v>138434</v>
      </c>
      <c r="T17" s="124">
        <f>SUM(Q12:Q16)</f>
        <v>149351</v>
      </c>
    </row>
    <row r="18" spans="2:22" ht="13" x14ac:dyDescent="0.3">
      <c r="M18" s="170" t="s">
        <v>755</v>
      </c>
      <c r="R18" s="117">
        <f>(R17/116073)-1</f>
        <v>8.7005591308917607E-2</v>
      </c>
      <c r="S18" s="117">
        <f>(S17/R17)-1</f>
        <v>9.7184795358716602E-2</v>
      </c>
      <c r="T18" s="117">
        <f>(T17/S17)-1</f>
        <v>7.8860684513919921E-2</v>
      </c>
    </row>
    <row r="19" spans="2:22" x14ac:dyDescent="0.25">
      <c r="B19" s="129" t="s">
        <v>845</v>
      </c>
    </row>
    <row r="20" spans="2:22" x14ac:dyDescent="0.25">
      <c r="C20" s="127"/>
      <c r="D20" s="127"/>
      <c r="E20" s="127"/>
      <c r="F20" s="127"/>
      <c r="G20" s="128"/>
      <c r="H20" s="128"/>
      <c r="I20" s="119"/>
    </row>
    <row r="21" spans="2:22" x14ac:dyDescent="0.25">
      <c r="B21" s="127" t="s">
        <v>847</v>
      </c>
      <c r="C21" s="127"/>
      <c r="D21" s="127"/>
      <c r="E21" s="127"/>
      <c r="F21" s="127"/>
      <c r="G21" s="128"/>
      <c r="H21" s="128"/>
      <c r="I21" s="119"/>
    </row>
    <row r="22" spans="2:22" ht="15.5" customHeight="1" x14ac:dyDescent="0.3">
      <c r="B22" s="135" t="s">
        <v>848</v>
      </c>
      <c r="C22" s="127"/>
      <c r="D22" s="127"/>
      <c r="E22" s="127"/>
      <c r="F22" s="127"/>
      <c r="G22" s="128"/>
      <c r="H22" s="128"/>
      <c r="I22" s="119"/>
    </row>
    <row r="23" spans="2:22" ht="33.5" hidden="1" customHeight="1" x14ac:dyDescent="0.25">
      <c r="B23" s="254" t="s">
        <v>843</v>
      </c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</row>
    <row r="24" spans="2:22" hidden="1" x14ac:dyDescent="0.25">
      <c r="B24" s="115" t="s">
        <v>832</v>
      </c>
    </row>
    <row r="25" spans="2:22" ht="40.5" customHeight="1" x14ac:dyDescent="0.25">
      <c r="B25" s="255" t="s">
        <v>833</v>
      </c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118"/>
      <c r="O25" s="118"/>
      <c r="P25" s="118"/>
      <c r="Q25" s="118"/>
      <c r="R25" s="118"/>
      <c r="S25" s="118"/>
      <c r="T25" s="118"/>
      <c r="U25" s="118"/>
      <c r="V25" s="118"/>
    </row>
  </sheetData>
  <mergeCells count="2">
    <mergeCell ref="B23:V23"/>
    <mergeCell ref="B25:M25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-0.499984740745262"/>
  </sheetPr>
  <dimension ref="A1"/>
  <sheetViews>
    <sheetView showGridLines="0" workbookViewId="0">
      <selection activeCell="E34" sqref="E34"/>
    </sheetView>
  </sheetViews>
  <sheetFormatPr defaultRowHeight="11.5" x14ac:dyDescent="0.25"/>
  <cols>
    <col min="1" max="1" width="5.296875" customWidth="1"/>
    <col min="2" max="2" width="19.09765625" customWidth="1"/>
  </cols>
  <sheetData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-0.499984740745262"/>
  </sheetPr>
  <dimension ref="B2:S117"/>
  <sheetViews>
    <sheetView workbookViewId="0">
      <pane xSplit="2" ySplit="3" topLeftCell="C21" activePane="bottomRight" state="frozen"/>
      <selection pane="topRight" activeCell="B1" sqref="B1"/>
      <selection pane="bottomLeft" activeCell="A4" sqref="A4"/>
      <selection pane="bottomRight" activeCell="N32" sqref="N32"/>
    </sheetView>
  </sheetViews>
  <sheetFormatPr defaultRowHeight="11.5" x14ac:dyDescent="0.25"/>
  <cols>
    <col min="1" max="1" width="4" customWidth="1"/>
    <col min="2" max="2" width="31.796875" customWidth="1"/>
    <col min="3" max="3" width="10.3984375" customWidth="1"/>
    <col min="5" max="5" width="9.09765625" customWidth="1"/>
    <col min="6" max="6" width="9.59765625" customWidth="1"/>
    <col min="7" max="7" width="9.19921875" customWidth="1"/>
    <col min="8" max="12" width="8.59765625" customWidth="1"/>
    <col min="13" max="13" width="5.09765625" customWidth="1"/>
    <col min="14" max="14" width="10.09765625" customWidth="1"/>
    <col min="15" max="15" width="10.8984375" customWidth="1"/>
    <col min="16" max="16" width="10.69921875" customWidth="1"/>
    <col min="17" max="17" width="9.8984375" customWidth="1"/>
    <col min="18" max="18" width="13.5" customWidth="1"/>
  </cols>
  <sheetData>
    <row r="2" spans="2:19" x14ac:dyDescent="0.25">
      <c r="G2" t="s">
        <v>767</v>
      </c>
    </row>
    <row r="3" spans="2:19" ht="15" thickBot="1" x14ac:dyDescent="0.4">
      <c r="C3" s="165">
        <v>2016</v>
      </c>
      <c r="D3" s="165">
        <v>2017</v>
      </c>
      <c r="E3" s="165">
        <v>2018</v>
      </c>
      <c r="F3" s="165">
        <v>2019</v>
      </c>
      <c r="G3" s="50">
        <v>2020</v>
      </c>
      <c r="H3" s="49">
        <v>2021</v>
      </c>
      <c r="I3" s="49">
        <v>2022</v>
      </c>
      <c r="J3" s="49">
        <v>2023</v>
      </c>
      <c r="K3" s="49">
        <v>2024</v>
      </c>
      <c r="L3" s="49">
        <v>2025</v>
      </c>
    </row>
    <row r="4" spans="2:19" s="59" customFormat="1" ht="14.5" customHeight="1" thickBot="1" x14ac:dyDescent="0.3">
      <c r="B4" s="223" t="s">
        <v>798</v>
      </c>
      <c r="C4" s="224"/>
      <c r="D4" s="224"/>
      <c r="E4" s="224"/>
      <c r="F4" s="224"/>
      <c r="G4" s="224"/>
      <c r="H4" s="224"/>
      <c r="I4" s="224"/>
      <c r="J4" s="224"/>
      <c r="K4" s="224"/>
      <c r="L4" s="225"/>
      <c r="N4" s="142" t="s">
        <v>857</v>
      </c>
      <c r="O4" s="59" t="s">
        <v>859</v>
      </c>
      <c r="P4" s="59" t="s">
        <v>77</v>
      </c>
      <c r="Q4" s="149" t="s">
        <v>860</v>
      </c>
    </row>
    <row r="5" spans="2:19" x14ac:dyDescent="0.25">
      <c r="B5" s="193" t="s">
        <v>783</v>
      </c>
      <c r="C5" s="194">
        <v>715</v>
      </c>
      <c r="D5" s="194">
        <f>'Warehouse Properties (1)'!N15</f>
        <v>741</v>
      </c>
      <c r="E5" s="194">
        <f>'Warehouse Properties (1)'!N16</f>
        <v>762</v>
      </c>
      <c r="F5" s="194">
        <f>'Warehouse Properties (1)'!N17</f>
        <v>782</v>
      </c>
      <c r="G5" s="194"/>
      <c r="H5" s="194"/>
      <c r="I5" s="194"/>
      <c r="J5" s="194"/>
      <c r="K5" s="194"/>
      <c r="L5" s="241"/>
      <c r="M5" s="46"/>
      <c r="N5" s="21" t="s">
        <v>858</v>
      </c>
      <c r="O5" t="s">
        <v>861</v>
      </c>
      <c r="P5" t="s">
        <v>862</v>
      </c>
      <c r="Q5" t="s">
        <v>863</v>
      </c>
      <c r="R5" t="s">
        <v>864</v>
      </c>
      <c r="S5" t="s">
        <v>865</v>
      </c>
    </row>
    <row r="6" spans="2:19" ht="11.5" hidden="1" customHeight="1" x14ac:dyDescent="0.25">
      <c r="B6" s="195" t="s">
        <v>163</v>
      </c>
      <c r="C6" s="61"/>
      <c r="D6" s="60"/>
      <c r="E6" s="60">
        <v>533</v>
      </c>
      <c r="F6" s="60">
        <v>543</v>
      </c>
      <c r="G6" s="60">
        <v>547</v>
      </c>
      <c r="H6" s="60"/>
      <c r="I6" s="60"/>
      <c r="J6" s="60"/>
      <c r="K6" s="60"/>
      <c r="L6" s="184"/>
      <c r="N6" s="21"/>
    </row>
    <row r="7" spans="2:19" ht="11.5" hidden="1" customHeight="1" x14ac:dyDescent="0.25">
      <c r="B7" s="195" t="s">
        <v>151</v>
      </c>
      <c r="C7" s="61"/>
      <c r="D7" s="60"/>
      <c r="E7" s="60">
        <v>100</v>
      </c>
      <c r="F7" s="60">
        <v>100</v>
      </c>
      <c r="G7" s="60">
        <v>100</v>
      </c>
      <c r="H7" s="60"/>
      <c r="I7" s="60"/>
      <c r="J7" s="60"/>
      <c r="K7" s="60"/>
      <c r="L7" s="184"/>
      <c r="N7" s="21"/>
    </row>
    <row r="8" spans="2:19" ht="11.5" hidden="1" customHeight="1" x14ac:dyDescent="0.25">
      <c r="B8" s="195" t="s">
        <v>164</v>
      </c>
      <c r="C8" s="61"/>
      <c r="D8" s="60"/>
      <c r="E8" s="60">
        <f>39+28+26+15+13+10+2+1+1</f>
        <v>135</v>
      </c>
      <c r="F8" s="60">
        <v>139</v>
      </c>
      <c r="G8" s="60">
        <f>G5-G6-G7</f>
        <v>-647</v>
      </c>
      <c r="H8" s="60"/>
      <c r="I8" s="60"/>
      <c r="J8" s="60"/>
      <c r="K8" s="60"/>
      <c r="L8" s="184"/>
      <c r="N8" s="21"/>
    </row>
    <row r="9" spans="2:19" x14ac:dyDescent="0.25">
      <c r="B9" s="182" t="s">
        <v>784</v>
      </c>
      <c r="C9" s="60">
        <f>C5-686</f>
        <v>29</v>
      </c>
      <c r="D9" s="60">
        <v>26</v>
      </c>
      <c r="E9" s="60">
        <f>E5-D5</f>
        <v>21</v>
      </c>
      <c r="F9" s="60">
        <f>F5-E5</f>
        <v>20</v>
      </c>
      <c r="G9" s="62"/>
      <c r="H9" s="62"/>
      <c r="I9" s="62"/>
      <c r="J9" s="62"/>
      <c r="K9" s="62"/>
      <c r="L9" s="196"/>
      <c r="N9" s="21" t="s">
        <v>208</v>
      </c>
      <c r="O9" t="s">
        <v>866</v>
      </c>
      <c r="P9" t="s">
        <v>867</v>
      </c>
      <c r="Q9" t="s">
        <v>868</v>
      </c>
    </row>
    <row r="10" spans="2:19" x14ac:dyDescent="0.25">
      <c r="B10" s="182"/>
      <c r="C10" s="60"/>
      <c r="D10" s="60"/>
      <c r="E10" s="60"/>
      <c r="F10" s="60"/>
      <c r="G10" s="60"/>
      <c r="H10" s="60"/>
      <c r="I10" s="60"/>
      <c r="J10" s="60"/>
      <c r="K10" s="60"/>
      <c r="L10" s="184"/>
      <c r="N10" s="21" t="s">
        <v>803</v>
      </c>
      <c r="O10" t="s">
        <v>869</v>
      </c>
    </row>
    <row r="11" spans="2:19" x14ac:dyDescent="0.25">
      <c r="B11" s="182" t="s">
        <v>165</v>
      </c>
      <c r="C11" s="63">
        <f>SUM(C12:C14)</f>
        <v>103.19999999999999</v>
      </c>
      <c r="D11" s="63">
        <f>SUM(D12:D14)</f>
        <v>107.30000000000001</v>
      </c>
      <c r="E11" s="63">
        <f>SUM(E12:E14)</f>
        <v>110.7</v>
      </c>
      <c r="F11" s="63">
        <f>SUM(F12:F14)</f>
        <v>113.9</v>
      </c>
      <c r="G11" s="63"/>
      <c r="H11" s="63"/>
      <c r="I11" s="63"/>
      <c r="J11" s="63"/>
      <c r="K11" s="63"/>
      <c r="L11" s="242"/>
    </row>
    <row r="12" spans="2:19" ht="11.5" hidden="1" customHeight="1" x14ac:dyDescent="0.25">
      <c r="B12" s="195" t="s">
        <v>163</v>
      </c>
      <c r="C12" s="60">
        <v>73.3</v>
      </c>
      <c r="D12" s="60">
        <v>75.400000000000006</v>
      </c>
      <c r="E12" s="60">
        <v>77.5</v>
      </c>
      <c r="F12" s="60">
        <v>79.900000000000006</v>
      </c>
      <c r="G12" s="60"/>
      <c r="H12" s="60"/>
      <c r="I12" s="60"/>
      <c r="J12" s="60"/>
      <c r="K12" s="60"/>
      <c r="L12" s="184"/>
    </row>
    <row r="13" spans="2:19" ht="11.5" hidden="1" customHeight="1" x14ac:dyDescent="0.25">
      <c r="B13" s="195" t="s">
        <v>151</v>
      </c>
      <c r="C13" s="60">
        <v>12.6</v>
      </c>
      <c r="D13" s="60">
        <v>13.5</v>
      </c>
      <c r="E13" s="60">
        <v>13.9</v>
      </c>
      <c r="F13" s="60">
        <v>14</v>
      </c>
      <c r="G13" s="60"/>
      <c r="H13" s="60"/>
      <c r="I13" s="60"/>
      <c r="J13" s="60"/>
      <c r="K13" s="60"/>
      <c r="L13" s="184"/>
    </row>
    <row r="14" spans="2:19" ht="11.5" hidden="1" customHeight="1" x14ac:dyDescent="0.25">
      <c r="B14" s="195" t="s">
        <v>164</v>
      </c>
      <c r="C14" s="60">
        <v>17.3</v>
      </c>
      <c r="D14" s="60">
        <v>18.399999999999999</v>
      </c>
      <c r="E14" s="60">
        <v>19.3</v>
      </c>
      <c r="F14" s="60">
        <v>20</v>
      </c>
      <c r="G14" s="60"/>
      <c r="H14" s="60"/>
      <c r="I14" s="60"/>
      <c r="J14" s="60"/>
      <c r="K14" s="60"/>
      <c r="L14" s="184"/>
    </row>
    <row r="15" spans="2:19" x14ac:dyDescent="0.25">
      <c r="B15" s="182" t="s">
        <v>166</v>
      </c>
      <c r="C15" s="64">
        <v>4.4999999999999858</v>
      </c>
      <c r="D15" s="64">
        <f>D11-C11</f>
        <v>4.1000000000000227</v>
      </c>
      <c r="E15" s="64">
        <f>E11-D11</f>
        <v>3.3999999999999915</v>
      </c>
      <c r="F15" s="64">
        <f>F11-E11</f>
        <v>3.2000000000000028</v>
      </c>
      <c r="G15" s="64"/>
      <c r="H15" s="64"/>
      <c r="I15" s="64"/>
      <c r="J15" s="64"/>
      <c r="K15" s="64"/>
      <c r="L15" s="243"/>
    </row>
    <row r="16" spans="2:19" x14ac:dyDescent="0.25">
      <c r="B16" s="182"/>
      <c r="C16" s="60"/>
      <c r="D16" s="60"/>
      <c r="E16" s="60"/>
      <c r="F16" s="60"/>
      <c r="G16" s="60"/>
      <c r="H16" s="60"/>
      <c r="I16" s="60"/>
      <c r="J16" s="60"/>
      <c r="K16" s="60"/>
      <c r="L16" s="184"/>
    </row>
    <row r="17" spans="2:16" x14ac:dyDescent="0.25">
      <c r="B17" s="182" t="s">
        <v>797</v>
      </c>
      <c r="C17" s="65">
        <f>(C11*1000000)/C5</f>
        <v>144335.6643356643</v>
      </c>
      <c r="D17" s="65">
        <f>(D11*1000000)/D5</f>
        <v>144804.31848852904</v>
      </c>
      <c r="E17" s="65">
        <f>(E11*1000000)/E5</f>
        <v>145275.59055118111</v>
      </c>
      <c r="F17" s="65">
        <f>(F11*1000000)/F5</f>
        <v>145652.17391304349</v>
      </c>
      <c r="G17" s="65"/>
      <c r="H17" s="65"/>
      <c r="I17" s="65"/>
      <c r="J17" s="65"/>
      <c r="K17" s="65"/>
      <c r="L17" s="244"/>
    </row>
    <row r="18" spans="2:16" x14ac:dyDescent="0.25">
      <c r="B18" s="197" t="s">
        <v>785</v>
      </c>
      <c r="C18" s="66">
        <v>3.1840499925603893E-3</v>
      </c>
      <c r="D18" s="66">
        <f>(D17/C17)-1</f>
        <v>3.2469740242082601E-3</v>
      </c>
      <c r="E18" s="66">
        <f>(E17/D17)-1</f>
        <v>3.2545442537295077E-3</v>
      </c>
      <c r="F18" s="66">
        <f>(F17/E17)-1</f>
        <v>2.5921998350417752E-3</v>
      </c>
      <c r="G18" s="67"/>
      <c r="H18" s="67"/>
      <c r="I18" s="67"/>
      <c r="J18" s="67"/>
      <c r="K18" s="67"/>
      <c r="L18" s="198"/>
      <c r="N18" s="222"/>
      <c r="O18" s="38">
        <v>2.6457557371901697E-3</v>
      </c>
      <c r="P18" t="s">
        <v>876</v>
      </c>
    </row>
    <row r="19" spans="2:16" x14ac:dyDescent="0.25">
      <c r="B19" s="199" t="s">
        <v>786</v>
      </c>
      <c r="C19" s="171">
        <f>(C52-C54)/C5</f>
        <v>156.65796503496503</v>
      </c>
      <c r="D19" s="171">
        <f>(D52-D54)/D5</f>
        <v>163.46170040485831</v>
      </c>
      <c r="E19" s="171">
        <f>(E52-E54)/E5</f>
        <v>174.40503937007875</v>
      </c>
      <c r="F19" s="171">
        <f>(F52-F54)/F5</f>
        <v>183.34649616368284</v>
      </c>
      <c r="G19" s="171"/>
      <c r="H19" s="171"/>
      <c r="I19" s="171"/>
      <c r="J19" s="171"/>
      <c r="K19" s="171"/>
      <c r="L19" s="200"/>
    </row>
    <row r="20" spans="2:16" x14ac:dyDescent="0.25">
      <c r="B20" s="199" t="s">
        <v>787</v>
      </c>
      <c r="C20" s="172"/>
      <c r="D20" s="173">
        <f>(D19/C19)-1</f>
        <v>4.3430510337439499E-2</v>
      </c>
      <c r="E20" s="173">
        <f>(E19/D19)-1</f>
        <v>6.6947419108673412E-2</v>
      </c>
      <c r="F20" s="173">
        <f>(F19/E19)-1</f>
        <v>5.1268339641441063E-2</v>
      </c>
      <c r="G20" s="173"/>
      <c r="H20" s="173"/>
      <c r="I20" s="173"/>
      <c r="J20" s="173"/>
      <c r="K20" s="173"/>
      <c r="L20" s="201"/>
    </row>
    <row r="21" spans="2:16" x14ac:dyDescent="0.25">
      <c r="B21" s="182" t="s">
        <v>167</v>
      </c>
      <c r="C21" s="68">
        <f>C52/C11</f>
        <v>1124.7383720930234</v>
      </c>
      <c r="D21" s="68">
        <f>D52/D11</f>
        <v>1175.8807082945013</v>
      </c>
      <c r="E21" s="68">
        <f>E52/E11</f>
        <v>1250.5329719963866</v>
      </c>
      <c r="F21" s="68">
        <f>F52/F11</f>
        <v>1311.2467076382791</v>
      </c>
      <c r="G21" s="68"/>
      <c r="H21" s="68"/>
      <c r="I21" s="68"/>
      <c r="J21" s="68"/>
      <c r="K21" s="68"/>
      <c r="L21" s="183"/>
    </row>
    <row r="22" spans="2:16" x14ac:dyDescent="0.25">
      <c r="B22" s="197" t="s">
        <v>168</v>
      </c>
      <c r="C22" s="47">
        <v>-2.3351949346493983E-2</v>
      </c>
      <c r="D22" s="47">
        <f>(D21/C21)-1</f>
        <v>4.5470428919667238E-2</v>
      </c>
      <c r="E22" s="47">
        <f>(E21/D21)-1</f>
        <v>6.3486256025205856E-2</v>
      </c>
      <c r="F22" s="47">
        <f>(F21/E21)-1</f>
        <v>4.8550287758480692E-2</v>
      </c>
      <c r="G22" s="70"/>
      <c r="H22" s="71"/>
      <c r="I22" s="71"/>
      <c r="J22" s="71"/>
      <c r="K22" s="71"/>
      <c r="L22" s="202"/>
      <c r="O22" s="13">
        <v>2.5438657278820109E-2</v>
      </c>
      <c r="P22" t="s">
        <v>876</v>
      </c>
    </row>
    <row r="23" spans="2:16" x14ac:dyDescent="0.25">
      <c r="B23" s="182"/>
      <c r="C23" s="60"/>
      <c r="D23" s="60"/>
      <c r="E23" s="60"/>
      <c r="F23" s="60"/>
      <c r="G23" s="60"/>
      <c r="H23" s="60"/>
      <c r="I23" s="60"/>
      <c r="J23" s="60"/>
      <c r="K23" s="60"/>
      <c r="L23" s="184"/>
    </row>
    <row r="24" spans="2:16" ht="12" thickBot="1" x14ac:dyDescent="0.3">
      <c r="B24" s="203" t="s">
        <v>740</v>
      </c>
      <c r="C24" s="188">
        <f>C52-C54</f>
        <v>112010.44500000001</v>
      </c>
      <c r="D24" s="188">
        <f>D52-D54</f>
        <v>121125.12</v>
      </c>
      <c r="E24" s="188">
        <f>E52-E54</f>
        <v>132896.64000000001</v>
      </c>
      <c r="F24" s="188">
        <f>F52-F54</f>
        <v>143376.95999999999</v>
      </c>
      <c r="G24" s="188"/>
      <c r="H24" s="188"/>
      <c r="I24" s="188"/>
      <c r="J24" s="188"/>
      <c r="K24" s="188"/>
      <c r="L24" s="190"/>
    </row>
    <row r="25" spans="2:16" x14ac:dyDescent="0.25">
      <c r="B25" s="182"/>
      <c r="C25" s="60"/>
      <c r="D25" s="60"/>
      <c r="E25" s="60"/>
      <c r="F25" s="60"/>
      <c r="G25" s="60"/>
      <c r="H25" s="60"/>
      <c r="I25" s="60"/>
      <c r="J25" s="60"/>
      <c r="K25" s="60"/>
      <c r="L25" s="184"/>
    </row>
    <row r="26" spans="2:16" x14ac:dyDescent="0.25">
      <c r="B26" s="226" t="s">
        <v>799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8"/>
    </row>
    <row r="27" spans="2:16" x14ac:dyDescent="0.25">
      <c r="B27" s="182" t="s">
        <v>169</v>
      </c>
      <c r="C27" s="72">
        <v>18.559999999999999</v>
      </c>
      <c r="D27" s="72">
        <v>18.77</v>
      </c>
      <c r="E27" s="72">
        <v>19.09</v>
      </c>
      <c r="F27" s="72">
        <v>21.02</v>
      </c>
      <c r="G27" s="72"/>
      <c r="H27" s="72"/>
      <c r="I27" s="72"/>
      <c r="J27" s="72"/>
      <c r="K27" s="72"/>
      <c r="L27" s="204"/>
    </row>
    <row r="28" spans="2:16" x14ac:dyDescent="0.25">
      <c r="B28" s="182"/>
      <c r="C28" s="72"/>
      <c r="D28" s="72"/>
      <c r="E28" s="72"/>
      <c r="F28" s="72"/>
      <c r="G28" s="137"/>
      <c r="H28" s="72"/>
      <c r="I28" s="72"/>
      <c r="J28" s="72"/>
      <c r="K28" s="72"/>
      <c r="L28" s="204"/>
    </row>
    <row r="29" spans="2:16" x14ac:dyDescent="0.25">
      <c r="B29" s="182" t="s">
        <v>170</v>
      </c>
      <c r="C29" s="73">
        <v>79.98</v>
      </c>
      <c r="D29" s="73">
        <v>83.7</v>
      </c>
      <c r="E29" s="73">
        <v>88.89</v>
      </c>
      <c r="F29" s="73">
        <v>89.48</v>
      </c>
      <c r="G29" s="73"/>
      <c r="H29" s="73"/>
      <c r="I29" s="73"/>
      <c r="J29" s="73"/>
      <c r="K29" s="73"/>
      <c r="L29" s="205"/>
    </row>
    <row r="30" spans="2:16" x14ac:dyDescent="0.25">
      <c r="B30" s="182" t="s">
        <v>171</v>
      </c>
      <c r="C30" s="72">
        <v>29.04</v>
      </c>
      <c r="D30" s="72">
        <v>30.63</v>
      </c>
      <c r="E30" s="72">
        <v>32.51</v>
      </c>
      <c r="F30" s="72">
        <v>32.880000000000003</v>
      </c>
      <c r="G30" s="72"/>
      <c r="H30" s="72"/>
      <c r="I30" s="72"/>
      <c r="J30" s="72"/>
      <c r="K30" s="72"/>
      <c r="L30" s="204"/>
    </row>
    <row r="31" spans="2:16" x14ac:dyDescent="0.25">
      <c r="B31" s="182"/>
      <c r="C31" s="72"/>
      <c r="D31" s="72"/>
      <c r="E31" s="72"/>
      <c r="F31" s="72"/>
      <c r="G31" s="138"/>
      <c r="H31" s="72"/>
      <c r="I31" s="72"/>
      <c r="J31" s="72"/>
      <c r="K31" s="72"/>
      <c r="L31" s="204"/>
    </row>
    <row r="32" spans="2:16" x14ac:dyDescent="0.25">
      <c r="B32" s="182" t="s">
        <v>172</v>
      </c>
      <c r="C32" s="73">
        <v>39.99</v>
      </c>
      <c r="D32" s="73">
        <v>41.85</v>
      </c>
      <c r="E32" s="73">
        <v>44.45</v>
      </c>
      <c r="F32" s="73">
        <v>44.74</v>
      </c>
      <c r="G32" s="73"/>
      <c r="H32" s="73"/>
      <c r="I32" s="73"/>
      <c r="J32" s="73"/>
      <c r="K32" s="73"/>
      <c r="L32" s="205"/>
    </row>
    <row r="33" spans="2:16" x14ac:dyDescent="0.25">
      <c r="B33" s="182"/>
      <c r="C33" s="73"/>
      <c r="D33" s="73"/>
      <c r="E33" s="73"/>
      <c r="F33" s="73"/>
      <c r="G33" s="73"/>
      <c r="H33" s="73"/>
      <c r="I33" s="73"/>
      <c r="J33" s="73"/>
      <c r="K33" s="73"/>
      <c r="L33" s="205"/>
    </row>
    <row r="34" spans="2:16" x14ac:dyDescent="0.25">
      <c r="B34" s="197" t="s">
        <v>174</v>
      </c>
      <c r="C34" s="36"/>
      <c r="D34" s="47">
        <f>(D27/C27)-1</f>
        <v>1.1314655172413923E-2</v>
      </c>
      <c r="E34" s="47">
        <f>(E27/D27)-1</f>
        <v>1.7048481619605704E-2</v>
      </c>
      <c r="F34" s="47">
        <f>(F27/E27)-1</f>
        <v>0.10110005238344688</v>
      </c>
      <c r="G34" s="74"/>
      <c r="H34" s="74"/>
      <c r="I34" s="74"/>
      <c r="J34" s="74"/>
      <c r="K34" s="74"/>
      <c r="L34" s="206"/>
      <c r="O34" s="44"/>
    </row>
    <row r="35" spans="2:16" x14ac:dyDescent="0.25">
      <c r="B35" s="197" t="s">
        <v>175</v>
      </c>
      <c r="C35" s="36"/>
      <c r="D35" s="47">
        <f t="shared" ref="D35:F36" si="0">(D29/C29)-1</f>
        <v>4.6511627906976827E-2</v>
      </c>
      <c r="E35" s="47">
        <f t="shared" si="0"/>
        <v>6.2007168458781292E-2</v>
      </c>
      <c r="F35" s="47">
        <f t="shared" si="0"/>
        <v>6.6374170322871517E-3</v>
      </c>
      <c r="G35" s="74"/>
      <c r="H35" s="74"/>
      <c r="I35" s="74"/>
      <c r="J35" s="74"/>
      <c r="K35" s="74"/>
      <c r="L35" s="206"/>
      <c r="O35" s="44"/>
    </row>
    <row r="36" spans="2:16" x14ac:dyDescent="0.25">
      <c r="B36" s="197" t="s">
        <v>176</v>
      </c>
      <c r="C36" s="36"/>
      <c r="D36" s="47">
        <f t="shared" si="0"/>
        <v>5.475206611570238E-2</v>
      </c>
      <c r="E36" s="47">
        <f t="shared" si="0"/>
        <v>6.1377734247469729E-2</v>
      </c>
      <c r="F36" s="47">
        <f t="shared" si="0"/>
        <v>1.1381113503537543E-2</v>
      </c>
      <c r="G36" s="74"/>
      <c r="H36" s="74"/>
      <c r="I36" s="74"/>
      <c r="J36" s="74"/>
      <c r="K36" s="74"/>
      <c r="L36" s="206"/>
      <c r="O36" s="44"/>
    </row>
    <row r="37" spans="2:16" x14ac:dyDescent="0.25">
      <c r="B37" s="197" t="s">
        <v>177</v>
      </c>
      <c r="C37" s="36"/>
      <c r="D37" s="47">
        <f>(D32/C32)-1</f>
        <v>4.6511627906976827E-2</v>
      </c>
      <c r="E37" s="47">
        <f>(E32/D32)-1</f>
        <v>6.212664277180413E-2</v>
      </c>
      <c r="F37" s="47">
        <f>(F32/E32)-1</f>
        <v>6.5241844769403645E-3</v>
      </c>
      <c r="G37" s="74"/>
      <c r="H37" s="74"/>
      <c r="I37" s="74"/>
      <c r="J37" s="74"/>
      <c r="K37" s="74"/>
      <c r="L37" s="206"/>
      <c r="O37" s="44"/>
    </row>
    <row r="38" spans="2:16" x14ac:dyDescent="0.25">
      <c r="B38" s="197" t="s">
        <v>178</v>
      </c>
      <c r="C38" s="36"/>
      <c r="D38" s="47">
        <f>(D40/C40)-1</f>
        <v>7.8305587581901426E-2</v>
      </c>
      <c r="E38" s="47">
        <f>(E40/D40)-1</f>
        <v>0.10132273504866696</v>
      </c>
      <c r="F38" s="47">
        <f>(F40/E40)-1</f>
        <v>6.681812956392208E-2</v>
      </c>
      <c r="G38" s="47"/>
      <c r="H38" s="47"/>
      <c r="I38" s="47"/>
      <c r="J38" s="47"/>
      <c r="K38" s="47"/>
      <c r="L38" s="245"/>
    </row>
    <row r="39" spans="2:16" x14ac:dyDescent="0.25">
      <c r="B39" s="197"/>
      <c r="C39" s="36"/>
      <c r="D39" s="47"/>
      <c r="E39" s="47"/>
      <c r="F39" s="47"/>
      <c r="G39" s="69"/>
      <c r="H39" s="69"/>
      <c r="I39" s="69"/>
      <c r="J39" s="69"/>
      <c r="K39" s="69"/>
      <c r="L39" s="207"/>
    </row>
    <row r="40" spans="2:16" x14ac:dyDescent="0.25">
      <c r="B40" s="208" t="s">
        <v>173</v>
      </c>
      <c r="C40" s="68">
        <f>(C27*C29)+(C30*C32)</f>
        <v>2645.7384000000002</v>
      </c>
      <c r="D40" s="68">
        <f>(D27*D29)+(D30*D32)</f>
        <v>2852.9144999999999</v>
      </c>
      <c r="E40" s="68">
        <f>(E27*E29)+(E30*E32)</f>
        <v>3141.9796000000001</v>
      </c>
      <c r="F40" s="68">
        <f>(F27*F29)+(F30*F32)</f>
        <v>3351.9207999999999</v>
      </c>
      <c r="G40" s="68"/>
      <c r="H40" s="68"/>
      <c r="I40" s="68"/>
      <c r="J40" s="68"/>
      <c r="K40" s="68"/>
      <c r="L40" s="183"/>
      <c r="O40" s="13"/>
    </row>
    <row r="41" spans="2:16" x14ac:dyDescent="0.25">
      <c r="B41" s="208"/>
      <c r="C41" s="68"/>
      <c r="D41" s="69">
        <f>(D40/C40)-1</f>
        <v>7.8305587581901426E-2</v>
      </c>
      <c r="E41" s="69">
        <f>(E40/D40)-1</f>
        <v>0.10132273504866696</v>
      </c>
      <c r="F41" s="69">
        <f>(F40/E40)-1</f>
        <v>6.681812956392208E-2</v>
      </c>
      <c r="G41" s="69"/>
      <c r="H41" s="69"/>
      <c r="I41" s="69"/>
      <c r="J41" s="69"/>
      <c r="K41" s="69"/>
      <c r="L41" s="246"/>
      <c r="O41" s="13">
        <v>6.6618257262935243E-2</v>
      </c>
      <c r="P41" t="s">
        <v>876</v>
      </c>
    </row>
    <row r="42" spans="2:16" x14ac:dyDescent="0.25">
      <c r="B42" s="209"/>
      <c r="C42" s="91"/>
      <c r="D42" s="91"/>
      <c r="E42" s="91"/>
      <c r="F42" s="91"/>
      <c r="G42" s="139"/>
      <c r="H42" s="90"/>
      <c r="I42" s="91"/>
      <c r="J42" s="91"/>
      <c r="K42" s="91"/>
      <c r="L42" s="210"/>
    </row>
    <row r="43" spans="2:16" x14ac:dyDescent="0.25">
      <c r="B43" s="208"/>
      <c r="C43" s="68"/>
      <c r="D43" s="68"/>
      <c r="E43" s="68"/>
      <c r="F43" s="68"/>
      <c r="G43" s="68"/>
      <c r="H43" s="68"/>
      <c r="I43" s="68"/>
      <c r="J43" s="68"/>
      <c r="K43" s="68"/>
      <c r="L43" s="183"/>
    </row>
    <row r="44" spans="2:16" x14ac:dyDescent="0.25">
      <c r="B44" s="199" t="s">
        <v>790</v>
      </c>
      <c r="C44" s="174">
        <f>C27+C30</f>
        <v>47.599999999999994</v>
      </c>
      <c r="D44" s="174">
        <f>D27+D30</f>
        <v>49.4</v>
      </c>
      <c r="E44" s="174">
        <f>E27+E30</f>
        <v>51.599999999999994</v>
      </c>
      <c r="F44" s="174">
        <f>F27+F30</f>
        <v>53.900000000000006</v>
      </c>
      <c r="G44" s="174"/>
      <c r="H44" s="174"/>
      <c r="I44" s="174"/>
      <c r="J44" s="174"/>
      <c r="K44" s="174"/>
      <c r="L44" s="247"/>
    </row>
    <row r="45" spans="2:16" x14ac:dyDescent="0.25">
      <c r="B45" s="199" t="s">
        <v>782</v>
      </c>
      <c r="C45" s="175">
        <f>(C44/C5)* 1000 * 1000</f>
        <v>66573.426573426565</v>
      </c>
      <c r="D45" s="175">
        <f>(D44/D5)* 1000 * 1000</f>
        <v>66666.666666666672</v>
      </c>
      <c r="E45" s="175">
        <f>(E44/E5)* 1000 * 1000</f>
        <v>67716.535433070865</v>
      </c>
      <c r="F45" s="175">
        <f>(F44/F5)* 1000 * 1000</f>
        <v>68925.831202046043</v>
      </c>
      <c r="G45" s="175"/>
      <c r="H45" s="175"/>
      <c r="I45" s="175"/>
      <c r="J45" s="175"/>
      <c r="K45" s="175"/>
      <c r="L45" s="248"/>
    </row>
    <row r="46" spans="2:16" x14ac:dyDescent="0.25">
      <c r="B46" s="199" t="s">
        <v>789</v>
      </c>
      <c r="C46" s="176">
        <f>C44/C11</f>
        <v>0.46124031007751937</v>
      </c>
      <c r="D46" s="176">
        <f>D44/D11</f>
        <v>0.46039142590866722</v>
      </c>
      <c r="E46" s="176">
        <f>E44/E11</f>
        <v>0.46612466124661239</v>
      </c>
      <c r="F46" s="176">
        <f>F44/F11</f>
        <v>0.47322212467076386</v>
      </c>
      <c r="G46" s="176"/>
      <c r="H46" s="176"/>
      <c r="I46" s="176"/>
      <c r="J46" s="176"/>
      <c r="K46" s="176"/>
      <c r="L46" s="249"/>
    </row>
    <row r="47" spans="2:16" x14ac:dyDescent="0.25">
      <c r="B47" s="199" t="s">
        <v>795</v>
      </c>
      <c r="C47" s="171">
        <f>C52/C44</f>
        <v>2438.5084033613448</v>
      </c>
      <c r="D47" s="171">
        <f>D52/D44</f>
        <v>2554.089068825911</v>
      </c>
      <c r="E47" s="171">
        <f>E52/E44</f>
        <v>2682.8294573643416</v>
      </c>
      <c r="F47" s="171">
        <f>F52/F44</f>
        <v>2770.8905380333949</v>
      </c>
      <c r="G47" s="171"/>
      <c r="H47" s="171"/>
      <c r="I47" s="171"/>
      <c r="J47" s="171"/>
      <c r="K47" s="171"/>
      <c r="L47" s="200"/>
      <c r="N47" s="39"/>
    </row>
    <row r="48" spans="2:16" x14ac:dyDescent="0.25">
      <c r="B48" s="199" t="s">
        <v>796</v>
      </c>
      <c r="C48" s="177">
        <v>-4.3183759524255461E-2</v>
      </c>
      <c r="D48" s="177">
        <f>(D47/C47)-1</f>
        <v>4.7398100127620912E-2</v>
      </c>
      <c r="E48" s="177">
        <f>(E47/D47)-1</f>
        <v>5.0405598657376149E-2</v>
      </c>
      <c r="F48" s="177">
        <f>(F47/E47)-1</f>
        <v>3.2823957716479724E-2</v>
      </c>
      <c r="G48" s="177"/>
      <c r="H48" s="177"/>
      <c r="I48" s="177"/>
      <c r="J48" s="177"/>
      <c r="K48" s="177"/>
      <c r="L48" s="250"/>
      <c r="O48" s="13">
        <v>1.094599317255307E-2</v>
      </c>
      <c r="P48" t="s">
        <v>876</v>
      </c>
    </row>
    <row r="49" spans="2:16" x14ac:dyDescent="0.25">
      <c r="B49" s="182"/>
      <c r="C49" s="73"/>
      <c r="D49" s="73"/>
      <c r="E49" s="73"/>
      <c r="F49" s="73"/>
      <c r="G49" s="73"/>
      <c r="H49" s="73"/>
      <c r="I49" s="73"/>
      <c r="J49" s="73"/>
      <c r="K49" s="73"/>
      <c r="L49" s="205"/>
    </row>
    <row r="50" spans="2:16" x14ac:dyDescent="0.25">
      <c r="B50" s="226" t="s">
        <v>800</v>
      </c>
      <c r="C50" s="227"/>
      <c r="D50" s="227"/>
      <c r="E50" s="227"/>
      <c r="F50" s="227"/>
      <c r="G50" s="227"/>
      <c r="H50" s="227"/>
      <c r="I50" s="227"/>
      <c r="J50" s="227"/>
      <c r="K50" s="227"/>
      <c r="L50" s="228"/>
    </row>
    <row r="51" spans="2:16" x14ac:dyDescent="0.25">
      <c r="B51" s="197" t="s">
        <v>179</v>
      </c>
      <c r="C51" s="75">
        <v>3.5000000000000003E-2</v>
      </c>
      <c r="D51" s="75">
        <v>0.04</v>
      </c>
      <c r="E51" s="75">
        <v>0.04</v>
      </c>
      <c r="F51" s="75">
        <v>0.04</v>
      </c>
      <c r="G51" s="70"/>
      <c r="H51" s="71"/>
      <c r="I51" s="71"/>
      <c r="J51" s="71"/>
      <c r="K51" s="71"/>
      <c r="L51" s="202"/>
    </row>
    <row r="52" spans="2:16" x14ac:dyDescent="0.25">
      <c r="B52" s="208" t="s">
        <v>743</v>
      </c>
      <c r="C52" s="68">
        <f>116073</f>
        <v>116073</v>
      </c>
      <c r="D52" s="68">
        <f>126172</f>
        <v>126172</v>
      </c>
      <c r="E52" s="68">
        <v>138434</v>
      </c>
      <c r="F52" s="68">
        <v>149351</v>
      </c>
      <c r="G52" s="68"/>
      <c r="H52" s="68"/>
      <c r="I52" s="68"/>
      <c r="J52" s="68"/>
      <c r="K52" s="68"/>
      <c r="L52" s="183"/>
    </row>
    <row r="53" spans="2:16" x14ac:dyDescent="0.25">
      <c r="B53" s="182"/>
      <c r="C53" s="68"/>
      <c r="D53" s="68"/>
      <c r="E53" s="68"/>
      <c r="F53" s="68"/>
      <c r="G53" s="140"/>
      <c r="H53" s="68"/>
      <c r="I53" s="60"/>
      <c r="J53" s="60"/>
      <c r="K53" s="60"/>
      <c r="L53" s="184"/>
      <c r="O53" s="13">
        <v>6.2663711460517302E-2</v>
      </c>
      <c r="P53" t="s">
        <v>876</v>
      </c>
    </row>
    <row r="54" spans="2:16" x14ac:dyDescent="0.25">
      <c r="B54" s="209" t="s">
        <v>180</v>
      </c>
      <c r="C54" s="90">
        <f>C51*C52</f>
        <v>4062.5550000000003</v>
      </c>
      <c r="D54" s="90">
        <f>D51*D52</f>
        <v>5046.88</v>
      </c>
      <c r="E54" s="90">
        <f>E51*E52</f>
        <v>5537.36</v>
      </c>
      <c r="F54" s="90">
        <f>F51*F52</f>
        <v>5974.04</v>
      </c>
      <c r="G54" s="90"/>
      <c r="H54" s="90"/>
      <c r="I54" s="90"/>
      <c r="J54" s="90"/>
      <c r="K54" s="90"/>
      <c r="L54" s="251"/>
    </row>
    <row r="55" spans="2:16" x14ac:dyDescent="0.25">
      <c r="B55" s="182"/>
      <c r="C55" s="60"/>
      <c r="D55" s="60"/>
      <c r="E55" s="60"/>
      <c r="F55" s="60"/>
      <c r="G55" s="60"/>
      <c r="H55" s="60"/>
      <c r="I55" s="60"/>
      <c r="J55" s="60"/>
      <c r="K55" s="60"/>
      <c r="L55" s="184"/>
    </row>
    <row r="56" spans="2:16" x14ac:dyDescent="0.25">
      <c r="B56" s="226" t="s">
        <v>739</v>
      </c>
      <c r="C56" s="227"/>
      <c r="D56" s="227"/>
      <c r="E56" s="227"/>
      <c r="F56" s="227"/>
      <c r="G56" s="227"/>
      <c r="H56" s="227"/>
      <c r="I56" s="227"/>
      <c r="J56" s="227"/>
      <c r="K56" s="227"/>
      <c r="L56" s="228"/>
    </row>
    <row r="57" spans="2:16" x14ac:dyDescent="0.25">
      <c r="B57" s="211" t="s">
        <v>801</v>
      </c>
      <c r="C57" s="68">
        <f>'Income Stmt'!C6</f>
        <v>118719</v>
      </c>
      <c r="D57" s="68">
        <f>'Income Stmt'!D6</f>
        <v>129025</v>
      </c>
      <c r="E57" s="68">
        <f>'Income Stmt'!E6</f>
        <v>141576</v>
      </c>
      <c r="F57" s="68">
        <f>'Income Stmt'!F6</f>
        <v>152703</v>
      </c>
      <c r="G57" s="68"/>
      <c r="H57" s="68"/>
      <c r="I57" s="68"/>
      <c r="J57" s="68"/>
      <c r="K57" s="68"/>
      <c r="L57" s="183"/>
    </row>
    <row r="58" spans="2:16" ht="12" thickBot="1" x14ac:dyDescent="0.3">
      <c r="B58" s="185" t="s">
        <v>742</v>
      </c>
      <c r="C58" s="212">
        <f>(C57/(113666+2533)-1)</f>
        <v>2.1686933622492521E-2</v>
      </c>
      <c r="D58" s="212">
        <f>(D57/C57)-1</f>
        <v>8.6810030407937999E-2</v>
      </c>
      <c r="E58" s="212">
        <f>(E57/D57)-1</f>
        <v>9.7275721759348954E-2</v>
      </c>
      <c r="F58" s="212">
        <f>(F57/E57)-1</f>
        <v>7.8593829462620723E-2</v>
      </c>
      <c r="G58" s="212"/>
      <c r="H58" s="212"/>
      <c r="I58" s="212"/>
      <c r="J58" s="212"/>
      <c r="K58" s="212"/>
      <c r="L58" s="252"/>
      <c r="O58" s="13">
        <v>6.274968642577039E-2</v>
      </c>
      <c r="P58" t="s">
        <v>876</v>
      </c>
    </row>
    <row r="59" spans="2:16" ht="12" thickBot="1" x14ac:dyDescent="0.3"/>
    <row r="60" spans="2:16" x14ac:dyDescent="0.25">
      <c r="B60" s="223" t="s">
        <v>444</v>
      </c>
      <c r="C60" s="224"/>
      <c r="D60" s="224"/>
      <c r="E60" s="224"/>
      <c r="F60" s="224"/>
      <c r="G60" s="224"/>
      <c r="H60" s="224"/>
      <c r="I60" s="224"/>
      <c r="J60" s="224"/>
      <c r="K60" s="224"/>
      <c r="L60" s="225"/>
    </row>
    <row r="61" spans="2:16" x14ac:dyDescent="0.25">
      <c r="B61" s="197" t="s">
        <v>181</v>
      </c>
      <c r="C61" s="47">
        <f>C62/C52</f>
        <v>0.88650000000000007</v>
      </c>
      <c r="D61" s="47">
        <f>D62/D52</f>
        <v>0.88674190787179408</v>
      </c>
      <c r="E61" s="47">
        <f>E62/E52</f>
        <v>0.88960804426658191</v>
      </c>
      <c r="F61" s="47">
        <f>F62/F52</f>
        <v>0.88975634578944907</v>
      </c>
      <c r="G61" s="77"/>
      <c r="H61" s="77"/>
      <c r="I61" s="77"/>
      <c r="J61" s="77"/>
      <c r="K61" s="77"/>
      <c r="L61" s="213"/>
    </row>
    <row r="62" spans="2:16" x14ac:dyDescent="0.25">
      <c r="B62" s="182" t="s">
        <v>182</v>
      </c>
      <c r="C62" s="68">
        <f>(1-11.35%)*C52</f>
        <v>102898.7145</v>
      </c>
      <c r="D62" s="68">
        <v>111882</v>
      </c>
      <c r="E62" s="68">
        <v>123152</v>
      </c>
      <c r="F62" s="68">
        <v>132886</v>
      </c>
      <c r="G62" s="68"/>
      <c r="H62" s="68"/>
      <c r="I62" s="68"/>
      <c r="J62" s="68"/>
      <c r="K62" s="68"/>
      <c r="L62" s="183"/>
    </row>
    <row r="63" spans="2:16" x14ac:dyDescent="0.25">
      <c r="B63" s="182"/>
      <c r="C63" s="60"/>
      <c r="D63" s="60"/>
      <c r="E63" s="60"/>
      <c r="F63" s="68"/>
      <c r="G63" s="140"/>
      <c r="H63" s="60"/>
      <c r="I63" s="60"/>
      <c r="J63" s="60"/>
      <c r="K63" s="60"/>
      <c r="L63" s="184"/>
    </row>
    <row r="64" spans="2:16" x14ac:dyDescent="0.25">
      <c r="B64" s="197" t="s">
        <v>183</v>
      </c>
      <c r="C64" s="47">
        <f>C65/C52</f>
        <v>9.0999999999999998E-2</v>
      </c>
      <c r="D64" s="47">
        <f>D65/D52</f>
        <v>9.1779475636432808E-2</v>
      </c>
      <c r="E64" s="47">
        <f>E65/E52</f>
        <v>8.9855093401909933E-2</v>
      </c>
      <c r="F64" s="47">
        <f>F65/F52</f>
        <v>9.0404483398169408E-2</v>
      </c>
      <c r="G64" s="77"/>
      <c r="H64" s="77"/>
      <c r="I64" s="77"/>
      <c r="J64" s="77"/>
      <c r="K64" s="77"/>
      <c r="L64" s="213"/>
      <c r="N64" s="44"/>
    </row>
    <row r="65" spans="2:16" x14ac:dyDescent="0.25">
      <c r="B65" s="182" t="s">
        <v>184</v>
      </c>
      <c r="C65" s="68">
        <f>(9.1%*C52)</f>
        <v>10562.643</v>
      </c>
      <c r="D65" s="68">
        <f>'Income Stmt'!D9</f>
        <v>11580</v>
      </c>
      <c r="E65" s="68">
        <f>'Income Stmt'!E9</f>
        <v>12439</v>
      </c>
      <c r="F65" s="68">
        <f>'Income Stmt'!F9</f>
        <v>13502</v>
      </c>
      <c r="G65" s="68"/>
      <c r="H65" s="68"/>
      <c r="I65" s="68"/>
      <c r="J65" s="68"/>
      <c r="K65" s="68"/>
      <c r="L65" s="183"/>
      <c r="N65" s="39"/>
    </row>
    <row r="66" spans="2:16" x14ac:dyDescent="0.25">
      <c r="B66" s="182"/>
      <c r="C66" s="60"/>
      <c r="D66" s="60"/>
      <c r="E66" s="60"/>
      <c r="F66" s="60"/>
      <c r="G66" s="140"/>
      <c r="H66" s="69"/>
      <c r="I66" s="78"/>
      <c r="J66" s="60"/>
      <c r="K66" s="60"/>
      <c r="L66" s="184"/>
    </row>
    <row r="67" spans="2:16" x14ac:dyDescent="0.25">
      <c r="B67" s="197" t="s">
        <v>754</v>
      </c>
      <c r="C67" s="69">
        <f>C68/C52</f>
        <v>1.3003515029334988E-2</v>
      </c>
      <c r="D67" s="69">
        <f>D68/D52</f>
        <v>1.0858193577021844E-2</v>
      </c>
      <c r="E67" s="69">
        <f>E68/E52</f>
        <v>1.0380397879133739E-2</v>
      </c>
      <c r="F67" s="69">
        <f>F68/F52</f>
        <v>9.989889588954878E-3</v>
      </c>
      <c r="G67" s="69"/>
      <c r="H67" s="69"/>
      <c r="I67" s="69"/>
      <c r="J67" s="69"/>
      <c r="K67" s="69"/>
      <c r="L67" s="246"/>
    </row>
    <row r="68" spans="2:16" x14ac:dyDescent="0.25">
      <c r="B68" s="197" t="s">
        <v>728</v>
      </c>
      <c r="C68" s="68">
        <f>12072-C65</f>
        <v>1509.357</v>
      </c>
      <c r="D68" s="68">
        <f>'Income Stmt'!D10</f>
        <v>1370</v>
      </c>
      <c r="E68" s="68">
        <f>'Income Stmt'!E10</f>
        <v>1437</v>
      </c>
      <c r="F68" s="68">
        <f>'Income Stmt'!F10</f>
        <v>1492</v>
      </c>
      <c r="G68" s="79"/>
      <c r="H68" s="79"/>
      <c r="I68" s="79"/>
      <c r="J68" s="79"/>
      <c r="K68" s="79"/>
      <c r="L68" s="152"/>
    </row>
    <row r="69" spans="2:16" ht="11.5" hidden="1" customHeight="1" x14ac:dyDescent="0.25">
      <c r="B69" s="182"/>
      <c r="C69" s="60"/>
      <c r="D69" s="60"/>
      <c r="E69" s="60"/>
      <c r="F69" s="60"/>
      <c r="G69" s="79"/>
      <c r="H69" s="60"/>
      <c r="I69" s="60"/>
      <c r="J69" s="60"/>
      <c r="K69" s="60"/>
      <c r="L69" s="184"/>
    </row>
    <row r="70" spans="2:16" ht="11.5" hidden="1" customHeight="1" x14ac:dyDescent="0.25">
      <c r="B70" s="182" t="s">
        <v>185</v>
      </c>
      <c r="C70" s="60"/>
      <c r="D70" s="60">
        <v>133000</v>
      </c>
      <c r="E70" s="60">
        <v>143000</v>
      </c>
      <c r="F70" s="60">
        <v>149000</v>
      </c>
      <c r="G70" s="60"/>
      <c r="H70" s="60"/>
      <c r="I70" s="60"/>
      <c r="J70" s="60"/>
      <c r="K70" s="60"/>
      <c r="L70" s="184"/>
    </row>
    <row r="71" spans="2:16" ht="11.5" hidden="1" customHeight="1" x14ac:dyDescent="0.25">
      <c r="B71" s="182" t="s">
        <v>186</v>
      </c>
      <c r="C71" s="60"/>
      <c r="D71" s="60">
        <v>98000</v>
      </c>
      <c r="E71" s="60">
        <v>102000</v>
      </c>
      <c r="F71" s="60">
        <v>105000</v>
      </c>
      <c r="G71" s="60"/>
      <c r="H71" s="60"/>
      <c r="I71" s="60"/>
      <c r="J71" s="60"/>
      <c r="K71" s="60"/>
      <c r="L71" s="184"/>
    </row>
    <row r="72" spans="2:16" ht="11.5" hidden="1" customHeight="1" x14ac:dyDescent="0.25">
      <c r="B72" s="182" t="s">
        <v>187</v>
      </c>
      <c r="C72" s="60"/>
      <c r="D72" s="60">
        <f>SUM(D70:D71)</f>
        <v>231000</v>
      </c>
      <c r="E72" s="60">
        <f>SUM(E70:E71)</f>
        <v>245000</v>
      </c>
      <c r="F72" s="60">
        <f>SUM(F70:F71)</f>
        <v>254000</v>
      </c>
      <c r="G72" s="60"/>
      <c r="H72" s="60"/>
      <c r="I72" s="60"/>
      <c r="J72" s="60"/>
      <c r="K72" s="60"/>
      <c r="L72" s="184"/>
    </row>
    <row r="73" spans="2:16" ht="11.5" hidden="1" customHeight="1" x14ac:dyDescent="0.25">
      <c r="B73" s="182" t="s">
        <v>788</v>
      </c>
      <c r="C73" s="80">
        <f>C72/C5</f>
        <v>0</v>
      </c>
      <c r="D73" s="80">
        <f>D72/D5</f>
        <v>311.74089068825913</v>
      </c>
      <c r="E73" s="80">
        <f>E72/E5</f>
        <v>321.52230971128608</v>
      </c>
      <c r="F73" s="80">
        <f>F72/F5</f>
        <v>324.80818414322249</v>
      </c>
      <c r="G73" s="60"/>
      <c r="H73" s="60"/>
      <c r="I73" s="60"/>
      <c r="J73" s="60"/>
      <c r="K73" s="60"/>
      <c r="L73" s="184"/>
    </row>
    <row r="74" spans="2:16" ht="11.5" customHeight="1" x14ac:dyDescent="0.25">
      <c r="B74" s="182"/>
      <c r="C74" s="80"/>
      <c r="D74" s="80"/>
      <c r="E74" s="80"/>
      <c r="F74" s="80"/>
      <c r="G74" s="60"/>
      <c r="H74" s="60"/>
      <c r="I74" s="60"/>
      <c r="J74" s="60"/>
      <c r="K74" s="60"/>
      <c r="L74" s="184"/>
    </row>
    <row r="75" spans="2:16" x14ac:dyDescent="0.25">
      <c r="B75" s="182" t="s">
        <v>877</v>
      </c>
      <c r="C75" s="229">
        <f>C76/C9</f>
        <v>2.6896551724137931</v>
      </c>
      <c r="D75" s="229">
        <f>D76/D9</f>
        <v>3.1538461538461537</v>
      </c>
      <c r="E75" s="229">
        <f>E76/E9</f>
        <v>3.2380952380952381</v>
      </c>
      <c r="F75" s="229">
        <f>F76/F9</f>
        <v>4.3</v>
      </c>
      <c r="G75" s="230"/>
      <c r="H75" s="230"/>
      <c r="I75" s="230"/>
      <c r="J75" s="230"/>
      <c r="K75" s="230"/>
      <c r="L75" s="253"/>
      <c r="O75" s="39">
        <v>3.2415367041753846</v>
      </c>
      <c r="P75" t="s">
        <v>878</v>
      </c>
    </row>
    <row r="76" spans="2:16" x14ac:dyDescent="0.25">
      <c r="B76" s="182" t="s">
        <v>188</v>
      </c>
      <c r="C76" s="68">
        <v>78</v>
      </c>
      <c r="D76" s="68">
        <v>82</v>
      </c>
      <c r="E76" s="68">
        <v>68</v>
      </c>
      <c r="F76" s="68">
        <v>86</v>
      </c>
      <c r="G76" s="68"/>
      <c r="H76" s="68"/>
      <c r="I76" s="68"/>
      <c r="J76" s="68"/>
      <c r="K76" s="68"/>
      <c r="L76" s="183"/>
    </row>
    <row r="77" spans="2:16" x14ac:dyDescent="0.25">
      <c r="B77" s="182"/>
      <c r="C77" s="60"/>
      <c r="D77" s="60"/>
      <c r="E77" s="60"/>
      <c r="F77" s="60"/>
      <c r="G77" s="140"/>
      <c r="H77" s="60"/>
      <c r="I77" s="60"/>
      <c r="J77" s="60"/>
      <c r="K77" s="60"/>
      <c r="L77" s="184"/>
    </row>
    <row r="78" spans="2:16" x14ac:dyDescent="0.25">
      <c r="B78" s="182" t="s">
        <v>189</v>
      </c>
      <c r="C78" s="68">
        <v>1243</v>
      </c>
      <c r="D78" s="68">
        <v>1325</v>
      </c>
      <c r="E78" s="68">
        <v>1263</v>
      </c>
      <c r="F78" s="68">
        <v>1061</v>
      </c>
      <c r="G78" s="68"/>
      <c r="H78" s="68"/>
      <c r="I78" s="68"/>
      <c r="J78" s="68"/>
      <c r="K78" s="68"/>
      <c r="L78" s="183"/>
    </row>
    <row r="79" spans="2:16" ht="12" thickBot="1" x14ac:dyDescent="0.3">
      <c r="B79" s="214" t="s">
        <v>190</v>
      </c>
      <c r="C79" s="215">
        <f>C78/3619</f>
        <v>0.34346504559270519</v>
      </c>
      <c r="D79" s="215">
        <f>D78/4039</f>
        <v>0.32805149789551868</v>
      </c>
      <c r="E79" s="215">
        <f>E78/4442</f>
        <v>0.28433138226024313</v>
      </c>
      <c r="F79" s="215">
        <f>F78/4765</f>
        <v>0.22266526757607555</v>
      </c>
      <c r="G79" s="216"/>
      <c r="H79" s="216"/>
      <c r="I79" s="216"/>
      <c r="J79" s="216"/>
      <c r="K79" s="216"/>
      <c r="L79" s="217"/>
    </row>
    <row r="80" spans="2:16" ht="12" thickBot="1" x14ac:dyDescent="0.3">
      <c r="B80" s="88"/>
      <c r="C80" s="60"/>
      <c r="D80" s="60"/>
      <c r="E80" s="60"/>
      <c r="F80" s="60"/>
      <c r="G80" s="60"/>
      <c r="H80" s="60"/>
      <c r="I80" s="60"/>
      <c r="J80" s="60"/>
      <c r="K80" s="60"/>
      <c r="L80" s="89"/>
    </row>
    <row r="81" spans="2:12" x14ac:dyDescent="0.25">
      <c r="B81" s="223" t="s">
        <v>802</v>
      </c>
      <c r="C81" s="224"/>
      <c r="D81" s="224"/>
      <c r="E81" s="224"/>
      <c r="F81" s="224"/>
      <c r="G81" s="224"/>
      <c r="H81" s="224"/>
      <c r="I81" s="224"/>
      <c r="J81" s="224"/>
      <c r="K81" s="224"/>
      <c r="L81" s="225"/>
    </row>
    <row r="82" spans="2:12" x14ac:dyDescent="0.25">
      <c r="B82" s="208" t="s">
        <v>191</v>
      </c>
      <c r="C82" s="60"/>
      <c r="D82" s="60"/>
      <c r="E82" s="60"/>
      <c r="F82" s="60"/>
      <c r="G82" s="60"/>
      <c r="H82" s="60"/>
      <c r="I82" s="60"/>
      <c r="J82" s="60"/>
      <c r="K82" s="60"/>
      <c r="L82" s="184"/>
    </row>
    <row r="83" spans="2:12" x14ac:dyDescent="0.25">
      <c r="B83" s="182" t="s">
        <v>192</v>
      </c>
      <c r="C83" s="68">
        <f>'Balance Sheet'!C5</f>
        <v>3379</v>
      </c>
      <c r="D83" s="68">
        <f>'Balance Sheet'!D5</f>
        <v>4546</v>
      </c>
      <c r="E83" s="68">
        <f>'Balance Sheet'!E5</f>
        <v>6055</v>
      </c>
      <c r="F83" s="68">
        <f>'Balance Sheet'!F5</f>
        <v>8384</v>
      </c>
      <c r="G83" s="68"/>
      <c r="H83" s="68"/>
      <c r="I83" s="68"/>
      <c r="J83" s="68"/>
      <c r="K83" s="68"/>
      <c r="L83" s="183"/>
    </row>
    <row r="84" spans="2:12" x14ac:dyDescent="0.25">
      <c r="B84" s="182" t="s">
        <v>193</v>
      </c>
      <c r="C84" s="68">
        <f>'Balance Sheet'!C6</f>
        <v>1350</v>
      </c>
      <c r="D84" s="68">
        <f>'Balance Sheet'!D6</f>
        <v>1233</v>
      </c>
      <c r="E84" s="68">
        <f>'Balance Sheet'!E6</f>
        <v>1204</v>
      </c>
      <c r="F84" s="68">
        <f>'Balance Sheet'!F6</f>
        <v>1060</v>
      </c>
      <c r="G84" s="68"/>
      <c r="H84" s="68"/>
      <c r="I84" s="68"/>
      <c r="J84" s="68"/>
      <c r="K84" s="68"/>
      <c r="L84" s="183"/>
    </row>
    <row r="85" spans="2:12" x14ac:dyDescent="0.25">
      <c r="B85" s="197" t="s">
        <v>194</v>
      </c>
      <c r="C85" s="68">
        <f>'Balance Sheet'!C7</f>
        <v>1252</v>
      </c>
      <c r="D85" s="68">
        <f>'Balance Sheet'!D7</f>
        <v>1432</v>
      </c>
      <c r="E85" s="68">
        <f>'Balance Sheet'!E7</f>
        <v>1669</v>
      </c>
      <c r="F85" s="68">
        <f>'Balance Sheet'!F7</f>
        <v>1535</v>
      </c>
      <c r="G85" s="68"/>
      <c r="H85" s="68"/>
      <c r="I85" s="68"/>
      <c r="J85" s="68"/>
      <c r="K85" s="68"/>
      <c r="L85" s="183"/>
    </row>
    <row r="86" spans="2:12" x14ac:dyDescent="0.25">
      <c r="B86" s="197" t="s">
        <v>195</v>
      </c>
      <c r="C86" s="68">
        <f>'Balance Sheet'!C8</f>
        <v>8969</v>
      </c>
      <c r="D86" s="68">
        <f>'Balance Sheet'!D8</f>
        <v>9834</v>
      </c>
      <c r="E86" s="68">
        <f>'Balance Sheet'!E8</f>
        <v>11040</v>
      </c>
      <c r="F86" s="68">
        <f>'Balance Sheet'!F8</f>
        <v>11395</v>
      </c>
      <c r="G86" s="68"/>
      <c r="H86" s="68"/>
      <c r="I86" s="68"/>
      <c r="J86" s="68"/>
      <c r="K86" s="68"/>
      <c r="L86" s="183"/>
    </row>
    <row r="87" spans="2:12" x14ac:dyDescent="0.25">
      <c r="B87" s="197" t="s">
        <v>196</v>
      </c>
      <c r="C87" s="68">
        <f>'Balance Sheet'!C9</f>
        <v>268</v>
      </c>
      <c r="D87" s="68">
        <f>'Balance Sheet'!D9</f>
        <v>272</v>
      </c>
      <c r="E87" s="68">
        <f>'Balance Sheet'!E9</f>
        <v>321</v>
      </c>
      <c r="F87" s="68">
        <f>'Balance Sheet'!F9</f>
        <v>1111</v>
      </c>
      <c r="G87" s="68"/>
      <c r="H87" s="68"/>
      <c r="I87" s="68"/>
      <c r="J87" s="68"/>
      <c r="K87" s="68"/>
      <c r="L87" s="183"/>
    </row>
    <row r="88" spans="2:12" x14ac:dyDescent="0.25">
      <c r="B88" s="208" t="s">
        <v>197</v>
      </c>
      <c r="C88" s="81">
        <f>SUM(C85:C87)</f>
        <v>10489</v>
      </c>
      <c r="D88" s="81">
        <f>SUM(D85:D87)</f>
        <v>11538</v>
      </c>
      <c r="E88" s="81">
        <f>SUM(E85:E87)</f>
        <v>13030</v>
      </c>
      <c r="F88" s="81">
        <f>SUM(F85:F87)</f>
        <v>14041</v>
      </c>
      <c r="G88" s="81"/>
      <c r="H88" s="81"/>
      <c r="I88" s="81"/>
      <c r="J88" s="81"/>
      <c r="K88" s="81"/>
      <c r="L88" s="238"/>
    </row>
    <row r="89" spans="2:12" x14ac:dyDescent="0.25">
      <c r="B89" s="182"/>
      <c r="C89" s="60"/>
      <c r="D89" s="60"/>
      <c r="E89" s="60"/>
      <c r="F89" s="60"/>
      <c r="G89" s="60"/>
      <c r="H89" s="60"/>
      <c r="I89" s="60"/>
      <c r="J89" s="60"/>
      <c r="K89" s="60"/>
      <c r="L89" s="184"/>
    </row>
    <row r="90" spans="2:12" x14ac:dyDescent="0.25">
      <c r="B90" s="197" t="s">
        <v>198</v>
      </c>
      <c r="C90" s="82">
        <f>(C85/C52)*365</f>
        <v>3.9370051605455187</v>
      </c>
      <c r="D90" s="82">
        <f>(D85/D52)*365</f>
        <v>4.1425989918523918</v>
      </c>
      <c r="E90" s="82">
        <f>(E85/E52)*365</f>
        <v>4.4005446638831502</v>
      </c>
      <c r="F90" s="82">
        <f>(F85/F$52)*365</f>
        <v>3.7513977141097143</v>
      </c>
      <c r="G90" s="83"/>
      <c r="H90" s="83"/>
      <c r="I90" s="83"/>
      <c r="J90" s="83"/>
      <c r="K90" s="83"/>
      <c r="L90" s="218"/>
    </row>
    <row r="91" spans="2:12" hidden="1" x14ac:dyDescent="0.25">
      <c r="B91" s="197" t="s">
        <v>199</v>
      </c>
      <c r="C91" s="82">
        <f>(C86/C52)*365</f>
        <v>28.20367355026578</v>
      </c>
      <c r="D91" s="82">
        <f>(D86/D52)*365</f>
        <v>28.448546428684654</v>
      </c>
      <c r="E91" s="82">
        <f>(E86/E52)*365</f>
        <v>29.108456015140789</v>
      </c>
      <c r="F91" s="82">
        <f>(F86/F52)*365</f>
        <v>27.848323747413808</v>
      </c>
      <c r="G91" s="83"/>
      <c r="H91" s="83"/>
      <c r="I91" s="83"/>
      <c r="J91" s="83"/>
      <c r="K91" s="83"/>
      <c r="L91" s="218"/>
    </row>
    <row r="92" spans="2:12" ht="11.5" customHeight="1" x14ac:dyDescent="0.25">
      <c r="B92" s="197" t="s">
        <v>199</v>
      </c>
      <c r="C92" s="82">
        <f>(C86/C62)*365</f>
        <v>31.814634574467888</v>
      </c>
      <c r="D92" s="82">
        <f>(D86/D62)*365</f>
        <v>32.082104359950662</v>
      </c>
      <c r="E92" s="82">
        <f>(E86/E62)*365</f>
        <v>32.720540470313111</v>
      </c>
      <c r="F92" s="82">
        <f>(F86/F62)*365</f>
        <v>31.298820041238358</v>
      </c>
      <c r="G92" s="83"/>
      <c r="H92" s="83"/>
      <c r="I92" s="83"/>
      <c r="J92" s="83"/>
      <c r="K92" s="83"/>
      <c r="L92" s="218"/>
    </row>
    <row r="93" spans="2:12" x14ac:dyDescent="0.25">
      <c r="B93" s="197" t="s">
        <v>196</v>
      </c>
      <c r="C93" s="82">
        <f>(C87/C52)*365</f>
        <v>0.84274551359920047</v>
      </c>
      <c r="D93" s="82">
        <f>(D87/D52)*365</f>
        <v>0.78686237834067774</v>
      </c>
      <c r="E93" s="82">
        <f>(E87/E52)*365</f>
        <v>0.8463599982663218</v>
      </c>
      <c r="F93" s="82">
        <f>(F87/F52)*365</f>
        <v>2.7151810165315262</v>
      </c>
      <c r="G93" s="83"/>
      <c r="H93" s="83"/>
      <c r="I93" s="83"/>
      <c r="J93" s="83"/>
      <c r="K93" s="83"/>
      <c r="L93" s="218"/>
    </row>
    <row r="94" spans="2:12" x14ac:dyDescent="0.25">
      <c r="B94" s="182"/>
      <c r="C94" s="60"/>
      <c r="D94" s="60"/>
      <c r="E94" s="60"/>
      <c r="F94" s="60"/>
      <c r="G94" s="60"/>
      <c r="H94" s="60"/>
      <c r="I94" s="60"/>
      <c r="J94" s="60"/>
      <c r="K94" s="60"/>
      <c r="L94" s="184"/>
    </row>
    <row r="95" spans="2:12" x14ac:dyDescent="0.25">
      <c r="B95" s="208" t="s">
        <v>200</v>
      </c>
      <c r="C95" s="60"/>
      <c r="D95" s="60"/>
      <c r="E95" s="60"/>
      <c r="F95" s="60"/>
      <c r="G95" s="60"/>
      <c r="H95" s="60"/>
      <c r="I95" s="60"/>
      <c r="J95" s="60"/>
      <c r="K95" s="60"/>
      <c r="L95" s="184"/>
    </row>
    <row r="96" spans="2:12" x14ac:dyDescent="0.25">
      <c r="B96" s="182" t="s">
        <v>201</v>
      </c>
      <c r="C96" s="68">
        <f>'Balance Sheet'!C27</f>
        <v>7612</v>
      </c>
      <c r="D96" s="68">
        <f>'Balance Sheet'!D27</f>
        <v>9608</v>
      </c>
      <c r="E96" s="68">
        <f>'Balance Sheet'!E27</f>
        <v>11237</v>
      </c>
      <c r="F96" s="68">
        <f>'Balance Sheet'!F27</f>
        <v>11679</v>
      </c>
      <c r="G96" s="68"/>
      <c r="H96" s="68"/>
      <c r="I96" s="68"/>
      <c r="J96" s="68"/>
      <c r="K96" s="68"/>
      <c r="L96" s="183"/>
    </row>
    <row r="97" spans="2:12" x14ac:dyDescent="0.25">
      <c r="B97" s="182" t="s">
        <v>202</v>
      </c>
      <c r="C97" s="68">
        <f>'Balance Sheet'!C28</f>
        <v>2629</v>
      </c>
      <c r="D97" s="68">
        <f>'Balance Sheet'!D28</f>
        <v>2703</v>
      </c>
      <c r="E97" s="68">
        <f>'Balance Sheet'!E28</f>
        <v>2994</v>
      </c>
      <c r="F97" s="68">
        <f>'Balance Sheet'!F28</f>
        <v>3176</v>
      </c>
      <c r="G97" s="68"/>
      <c r="H97" s="68"/>
      <c r="I97" s="68"/>
      <c r="J97" s="68"/>
      <c r="K97" s="68"/>
      <c r="L97" s="183"/>
    </row>
    <row r="98" spans="2:12" x14ac:dyDescent="0.25">
      <c r="B98" s="182" t="s">
        <v>203</v>
      </c>
      <c r="C98" s="68">
        <f>'Balance Sheet'!C29</f>
        <v>869</v>
      </c>
      <c r="D98" s="68">
        <f>'Balance Sheet'!D29</f>
        <v>961</v>
      </c>
      <c r="E98" s="68">
        <f>'Balance Sheet'!E29</f>
        <v>1057</v>
      </c>
      <c r="F98" s="68">
        <f>'Balance Sheet'!F29</f>
        <v>1180</v>
      </c>
      <c r="G98" s="68"/>
      <c r="H98" s="68"/>
      <c r="I98" s="68"/>
      <c r="J98" s="68"/>
      <c r="K98" s="68"/>
      <c r="L98" s="183"/>
    </row>
    <row r="99" spans="2:12" x14ac:dyDescent="0.25">
      <c r="B99" s="182" t="s">
        <v>204</v>
      </c>
      <c r="C99" s="68">
        <f>'Balance Sheet'!C30</f>
        <v>1362</v>
      </c>
      <c r="D99" s="68">
        <f>'Balance Sheet'!D30</f>
        <v>1498</v>
      </c>
      <c r="E99" s="68">
        <f>'Balance Sheet'!E30</f>
        <v>1624</v>
      </c>
      <c r="F99" s="68">
        <f>'Balance Sheet'!F30</f>
        <v>1711</v>
      </c>
      <c r="G99" s="68"/>
      <c r="H99" s="68"/>
      <c r="I99" s="68"/>
      <c r="J99" s="68"/>
      <c r="K99" s="68"/>
      <c r="L99" s="183"/>
    </row>
    <row r="100" spans="2:12" x14ac:dyDescent="0.25">
      <c r="B100" s="186"/>
      <c r="C100" s="84"/>
      <c r="D100" s="84"/>
      <c r="E100" s="84"/>
      <c r="F100" s="84"/>
      <c r="G100" s="84"/>
      <c r="H100" s="84"/>
      <c r="I100" s="84"/>
      <c r="J100" s="84"/>
      <c r="K100" s="84"/>
      <c r="L100" s="187"/>
    </row>
    <row r="101" spans="2:12" x14ac:dyDescent="0.25">
      <c r="B101" s="211" t="s">
        <v>206</v>
      </c>
      <c r="C101" s="68">
        <f>'Balance Sheet'!C32</f>
        <v>2003</v>
      </c>
      <c r="D101" s="68">
        <f>'Balance Sheet'!D32</f>
        <v>2639</v>
      </c>
      <c r="E101" s="68">
        <f>'Balance Sheet'!E32</f>
        <v>2924</v>
      </c>
      <c r="F101" s="68">
        <f>'Balance Sheet'!F32</f>
        <v>3792</v>
      </c>
      <c r="G101" s="68"/>
      <c r="H101" s="68"/>
      <c r="I101" s="68"/>
      <c r="J101" s="68"/>
      <c r="K101" s="68"/>
      <c r="L101" s="183"/>
    </row>
    <row r="102" spans="2:12" x14ac:dyDescent="0.25">
      <c r="B102" s="208" t="s">
        <v>207</v>
      </c>
      <c r="C102" s="81">
        <f>C96+C98+C97+C99+C101</f>
        <v>14475</v>
      </c>
      <c r="D102" s="81">
        <f>D96+D98+D97+D99+D101</f>
        <v>17409</v>
      </c>
      <c r="E102" s="81">
        <f>E96+E98+E97+E99+E101</f>
        <v>19836</v>
      </c>
      <c r="F102" s="81">
        <f>F96+F98+F97+F99+F101</f>
        <v>21538</v>
      </c>
      <c r="G102" s="81"/>
      <c r="H102" s="81"/>
      <c r="I102" s="81"/>
      <c r="J102" s="81"/>
      <c r="K102" s="81"/>
      <c r="L102" s="238"/>
    </row>
    <row r="103" spans="2:12" ht="14.5" x14ac:dyDescent="0.35">
      <c r="B103" s="182"/>
      <c r="C103" s="80"/>
      <c r="D103" s="80"/>
      <c r="E103" s="80"/>
      <c r="F103" s="80"/>
      <c r="G103" s="80"/>
      <c r="H103" s="60"/>
      <c r="I103" s="60"/>
      <c r="J103" s="85"/>
      <c r="K103" s="86"/>
      <c r="L103" s="184"/>
    </row>
    <row r="104" spans="2:12" x14ac:dyDescent="0.25">
      <c r="B104" s="197" t="s">
        <v>201</v>
      </c>
      <c r="C104" s="82">
        <f t="shared" ref="C104:E107" si="1">(C96/C$62)*365</f>
        <v>27.001114770972187</v>
      </c>
      <c r="D104" s="82">
        <f t="shared" si="1"/>
        <v>31.344809710230422</v>
      </c>
      <c r="E104" s="82">
        <f t="shared" si="1"/>
        <v>33.304412433415614</v>
      </c>
      <c r="F104" s="82">
        <f>(F96/F$62)*365</f>
        <v>32.078887166443415</v>
      </c>
      <c r="G104" s="83"/>
      <c r="H104" s="83"/>
      <c r="I104" s="83"/>
      <c r="J104" s="83"/>
      <c r="K104" s="83"/>
      <c r="L104" s="218"/>
    </row>
    <row r="105" spans="2:12" x14ac:dyDescent="0.25">
      <c r="B105" s="197" t="s">
        <v>202</v>
      </c>
      <c r="C105" s="82">
        <f t="shared" si="1"/>
        <v>9.32552952350051</v>
      </c>
      <c r="D105" s="82">
        <f t="shared" si="1"/>
        <v>8.8181745052823519</v>
      </c>
      <c r="E105" s="82">
        <f t="shared" si="1"/>
        <v>8.8736683123294799</v>
      </c>
      <c r="F105" s="82">
        <f>(F97/F$62)*365</f>
        <v>8.7235675691946479</v>
      </c>
      <c r="G105" s="83"/>
      <c r="H105" s="83"/>
      <c r="I105" s="83"/>
      <c r="J105" s="83"/>
      <c r="K105" s="83"/>
      <c r="L105" s="218"/>
    </row>
    <row r="106" spans="2:12" x14ac:dyDescent="0.25">
      <c r="B106" s="197" t="s">
        <v>203</v>
      </c>
      <c r="C106" s="82">
        <f t="shared" si="1"/>
        <v>3.0824972065127203</v>
      </c>
      <c r="D106" s="82">
        <f t="shared" si="1"/>
        <v>3.1351334441643877</v>
      </c>
      <c r="E106" s="82">
        <f t="shared" si="1"/>
        <v>3.1327546446667531</v>
      </c>
      <c r="F106" s="82">
        <f>(F98/F$62)*365</f>
        <v>3.2411239709224451</v>
      </c>
      <c r="G106" s="83"/>
      <c r="H106" s="83"/>
      <c r="I106" s="83"/>
      <c r="J106" s="83"/>
      <c r="K106" s="83"/>
      <c r="L106" s="218"/>
    </row>
    <row r="107" spans="2:12" x14ac:dyDescent="0.25">
      <c r="B107" s="197" t="s">
        <v>204</v>
      </c>
      <c r="C107" s="82">
        <f t="shared" si="1"/>
        <v>4.8312556907598685</v>
      </c>
      <c r="D107" s="82">
        <f t="shared" si="1"/>
        <v>4.8870238286766412</v>
      </c>
      <c r="E107" s="82">
        <f t="shared" si="1"/>
        <v>4.8132389242562041</v>
      </c>
      <c r="F107" s="82">
        <f>(F99/F$62)*365</f>
        <v>4.6996297578375446</v>
      </c>
      <c r="G107" s="83"/>
      <c r="H107" s="83"/>
      <c r="I107" s="83"/>
      <c r="J107" s="83"/>
      <c r="K107" s="83"/>
      <c r="L107" s="218"/>
    </row>
    <row r="108" spans="2:12" x14ac:dyDescent="0.25">
      <c r="B108" s="219" t="s">
        <v>206</v>
      </c>
      <c r="C108" s="82">
        <f>(C101/C$62)*365</f>
        <v>7.1049964380264443</v>
      </c>
      <c r="D108" s="82">
        <f>(D101/D$62)*365</f>
        <v>8.6093831000518399</v>
      </c>
      <c r="E108" s="82">
        <f>(E101/E$62)*365</f>
        <v>8.666201117318435</v>
      </c>
      <c r="F108" s="82">
        <f>(F101/F$62)*365</f>
        <v>10.415544150625349</v>
      </c>
      <c r="G108" s="83"/>
      <c r="H108" s="83"/>
      <c r="I108" s="83"/>
      <c r="J108" s="83"/>
      <c r="K108" s="83"/>
      <c r="L108" s="218"/>
    </row>
    <row r="109" spans="2:12" x14ac:dyDescent="0.25">
      <c r="B109" s="182"/>
      <c r="C109" s="60"/>
      <c r="D109" s="60"/>
      <c r="E109" s="60"/>
      <c r="F109" s="60"/>
      <c r="G109" s="60"/>
      <c r="H109" s="60"/>
      <c r="I109" s="60"/>
      <c r="J109" s="60"/>
      <c r="K109" s="60"/>
      <c r="L109" s="184"/>
    </row>
    <row r="110" spans="2:12" x14ac:dyDescent="0.25">
      <c r="B110" s="197" t="s">
        <v>208</v>
      </c>
      <c r="C110" s="35">
        <f>C88-C102</f>
        <v>-3986</v>
      </c>
      <c r="D110" s="35">
        <f>D88-D102</f>
        <v>-5871</v>
      </c>
      <c r="E110" s="35">
        <f>E88-E102</f>
        <v>-6806</v>
      </c>
      <c r="F110" s="35">
        <f>F88-F102</f>
        <v>-7497</v>
      </c>
      <c r="G110" s="35"/>
      <c r="H110" s="35"/>
      <c r="I110" s="35"/>
      <c r="J110" s="35"/>
      <c r="K110" s="35"/>
      <c r="L110" s="239"/>
    </row>
    <row r="111" spans="2:12" ht="12" thickBot="1" x14ac:dyDescent="0.3">
      <c r="B111" s="214" t="s">
        <v>209</v>
      </c>
      <c r="C111" s="220"/>
      <c r="D111" s="221">
        <f>D110-C110</f>
        <v>-1885</v>
      </c>
      <c r="E111" s="221">
        <f>E110-D110</f>
        <v>-935</v>
      </c>
      <c r="F111" s="221">
        <f>F110-E110</f>
        <v>-691</v>
      </c>
      <c r="G111" s="221"/>
      <c r="H111" s="221"/>
      <c r="I111" s="221"/>
      <c r="J111" s="221"/>
      <c r="K111" s="221"/>
      <c r="L111" s="240"/>
    </row>
    <row r="112" spans="2:12" ht="12" thickBot="1" x14ac:dyDescent="0.3"/>
    <row r="113" spans="2:12" x14ac:dyDescent="0.25">
      <c r="B113" s="223" t="s">
        <v>803</v>
      </c>
      <c r="C113" s="224"/>
      <c r="D113" s="224"/>
      <c r="E113" s="224"/>
      <c r="F113" s="224"/>
      <c r="G113" s="224"/>
      <c r="H113" s="224"/>
      <c r="I113" s="224"/>
      <c r="J113" s="224"/>
      <c r="K113" s="224"/>
      <c r="L113" s="225"/>
    </row>
    <row r="114" spans="2:12" x14ac:dyDescent="0.25">
      <c r="B114" s="197" t="s">
        <v>748</v>
      </c>
      <c r="C114" s="178">
        <v>0.3</v>
      </c>
      <c r="D114" s="178">
        <v>0.3</v>
      </c>
      <c r="E114" s="69">
        <f>2.14/7.09</f>
        <v>0.30183356840620595</v>
      </c>
      <c r="F114" s="69">
        <f>2.44/8.26</f>
        <v>0.29539951573849876</v>
      </c>
      <c r="G114" s="74"/>
      <c r="H114" s="74"/>
      <c r="I114" s="74"/>
      <c r="J114" s="74"/>
      <c r="K114" s="74"/>
      <c r="L114" s="206"/>
    </row>
    <row r="115" spans="2:12" ht="12" thickBot="1" x14ac:dyDescent="0.3">
      <c r="B115" s="214" t="s">
        <v>749</v>
      </c>
      <c r="C115" s="188">
        <f>C114*'Income Stmt'!C21</f>
        <v>1156.6070999999999</v>
      </c>
      <c r="D115" s="188">
        <f>D114*'Income Stmt'!D21</f>
        <v>1214.7</v>
      </c>
      <c r="E115" s="188">
        <f>E114*'Income Stmt'!E21</f>
        <v>1379.6812411847675</v>
      </c>
      <c r="F115" s="188">
        <f>F114*'Income Stmt'!F21</f>
        <v>1080.8668280871671</v>
      </c>
      <c r="G115" s="188"/>
      <c r="H115" s="188"/>
      <c r="I115" s="188"/>
      <c r="J115" s="188"/>
      <c r="K115" s="188"/>
      <c r="L115" s="190"/>
    </row>
    <row r="116" spans="2:12" x14ac:dyDescent="0.25">
      <c r="B116" s="20"/>
    </row>
    <row r="117" spans="2:12" x14ac:dyDescent="0.25">
      <c r="B117" s="21" t="s">
        <v>844</v>
      </c>
      <c r="C117" s="12">
        <f>C90+C92-C104</f>
        <v>8.7505249640412188</v>
      </c>
      <c r="D117" s="12">
        <f>D90+D92-D104</f>
        <v>4.8798936415726359</v>
      </c>
      <c r="E117" s="12">
        <f>E90+E92-E104</f>
        <v>3.81667270078065</v>
      </c>
      <c r="F117" s="12">
        <f>F90+F92-F104</f>
        <v>2.9713305889046566</v>
      </c>
      <c r="G117" s="12"/>
      <c r="H117" s="12"/>
      <c r="I117" s="12"/>
      <c r="J117" s="12"/>
      <c r="K117" s="12"/>
      <c r="L117" s="12"/>
    </row>
  </sheetData>
  <pageMargins left="0.7" right="0.7" top="0.75" bottom="0.75" header="0.3" footer="0.3"/>
  <pageSetup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-0.499984740745262"/>
  </sheetPr>
  <dimension ref="B1:Q28"/>
  <sheetViews>
    <sheetView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G3" sqref="G3:L18"/>
    </sheetView>
  </sheetViews>
  <sheetFormatPr defaultRowHeight="11.5" x14ac:dyDescent="0.25"/>
  <cols>
    <col min="1" max="1" width="4" customWidth="1"/>
    <col min="2" max="2" width="35.5" customWidth="1"/>
    <col min="8" max="8" width="9.5" bestFit="1" customWidth="1"/>
    <col min="13" max="16" width="0" hidden="1" customWidth="1"/>
  </cols>
  <sheetData>
    <row r="1" spans="2:17" x14ac:dyDescent="0.25">
      <c r="G1" t="s">
        <v>767</v>
      </c>
    </row>
    <row r="2" spans="2:17" ht="14.5" x14ac:dyDescent="0.35">
      <c r="C2" s="14">
        <v>2016</v>
      </c>
      <c r="D2" s="14">
        <v>2017</v>
      </c>
      <c r="E2" s="14">
        <v>2018</v>
      </c>
      <c r="F2" s="14">
        <v>2019</v>
      </c>
      <c r="G2" s="50">
        <v>2020</v>
      </c>
      <c r="H2" s="49">
        <v>2021</v>
      </c>
      <c r="I2" s="49">
        <v>2022</v>
      </c>
      <c r="J2" s="49">
        <v>2023</v>
      </c>
      <c r="K2" s="49">
        <v>2024</v>
      </c>
      <c r="L2" s="49">
        <v>2025</v>
      </c>
    </row>
    <row r="3" spans="2:17" x14ac:dyDescent="0.25">
      <c r="B3" s="23" t="s">
        <v>213</v>
      </c>
    </row>
    <row r="4" spans="2:17" x14ac:dyDescent="0.25">
      <c r="B4" s="20" t="s">
        <v>214</v>
      </c>
      <c r="C4" s="22">
        <f>'Balance Sheet'!C13</f>
        <v>5395</v>
      </c>
      <c r="D4" s="22">
        <f>'Balance Sheet'!D13</f>
        <v>5690</v>
      </c>
      <c r="E4" s="22">
        <f>'Balance Sheet'!E13</f>
        <v>6193</v>
      </c>
      <c r="F4" s="22">
        <f>'Balance Sheet'!F13</f>
        <v>6417</v>
      </c>
      <c r="G4" s="22"/>
      <c r="O4">
        <v>6684</v>
      </c>
      <c r="Q4" s="167">
        <v>6684</v>
      </c>
    </row>
    <row r="5" spans="2:17" x14ac:dyDescent="0.25">
      <c r="B5" s="20" t="s">
        <v>215</v>
      </c>
      <c r="C5" s="22">
        <f>'Balance Sheet'!C14</f>
        <v>13994</v>
      </c>
      <c r="D5" s="22">
        <f>'Balance Sheet'!D14</f>
        <v>15127</v>
      </c>
      <c r="E5" s="22">
        <f>'Balance Sheet'!E14</f>
        <v>16107</v>
      </c>
      <c r="F5" s="22">
        <f>'Balance Sheet'!F14</f>
        <v>17136</v>
      </c>
      <c r="G5" s="22"/>
      <c r="O5">
        <v>17800</v>
      </c>
      <c r="Q5" s="167">
        <v>17800</v>
      </c>
    </row>
    <row r="6" spans="2:17" x14ac:dyDescent="0.25">
      <c r="B6" s="20" t="s">
        <v>216</v>
      </c>
      <c r="C6" s="22">
        <f>'Balance Sheet'!C15</f>
        <v>6077</v>
      </c>
      <c r="D6" s="22">
        <f>'Balance Sheet'!D15</f>
        <v>6681</v>
      </c>
      <c r="E6" s="22">
        <f>'Balance Sheet'!E15</f>
        <v>7274</v>
      </c>
      <c r="F6" s="22">
        <f>'Balance Sheet'!F15</f>
        <v>7801</v>
      </c>
      <c r="G6" s="22"/>
      <c r="O6">
        <v>8549</v>
      </c>
      <c r="Q6" s="167">
        <v>8549</v>
      </c>
    </row>
    <row r="7" spans="2:17" x14ac:dyDescent="0.25">
      <c r="B7" s="20" t="s">
        <v>217</v>
      </c>
      <c r="C7" s="22">
        <f>'Balance Sheet'!C16</f>
        <v>701</v>
      </c>
      <c r="D7" s="22">
        <f>'Balance Sheet'!D16</f>
        <v>843</v>
      </c>
      <c r="E7" s="22">
        <f>'Balance Sheet'!E16</f>
        <v>1140</v>
      </c>
      <c r="F7" s="22">
        <f>'Balance Sheet'!F16</f>
        <v>1272</v>
      </c>
      <c r="G7" s="22"/>
      <c r="O7">
        <v>1073</v>
      </c>
      <c r="Q7" s="167">
        <v>1073</v>
      </c>
    </row>
    <row r="8" spans="2:17" x14ac:dyDescent="0.25">
      <c r="B8" s="20" t="s">
        <v>3</v>
      </c>
      <c r="C8" s="24">
        <f>'Balance Sheet'!C17</f>
        <v>26167</v>
      </c>
      <c r="D8" s="24">
        <f>'Balance Sheet'!D17</f>
        <v>28341</v>
      </c>
      <c r="E8" s="24">
        <f>'Balance Sheet'!E17</f>
        <v>30714</v>
      </c>
      <c r="F8" s="24">
        <f>'Balance Sheet'!F17</f>
        <v>32626</v>
      </c>
      <c r="G8" s="31"/>
      <c r="H8" s="31"/>
      <c r="I8" s="31"/>
      <c r="J8" s="31"/>
      <c r="K8" s="31"/>
      <c r="L8" s="31"/>
      <c r="O8">
        <v>34106</v>
      </c>
      <c r="Q8" s="168">
        <f>SUM(Q4:Q7)</f>
        <v>34106</v>
      </c>
    </row>
    <row r="9" spans="2:17" x14ac:dyDescent="0.25">
      <c r="B9" s="20" t="s">
        <v>218</v>
      </c>
      <c r="C9" s="22">
        <f>'Balance Sheet'!C18</f>
        <v>-9124</v>
      </c>
      <c r="D9" s="22">
        <f>'Balance Sheet'!D18</f>
        <v>-10180</v>
      </c>
      <c r="E9" s="22">
        <f>'Balance Sheet'!E18</f>
        <v>-11033</v>
      </c>
      <c r="F9" s="22">
        <f>'Balance Sheet'!F18</f>
        <v>-11736</v>
      </c>
      <c r="G9" s="25"/>
      <c r="H9" s="25"/>
      <c r="I9" s="25"/>
      <c r="J9" s="25"/>
      <c r="K9" s="25"/>
      <c r="L9" s="25"/>
      <c r="O9">
        <v>-12579</v>
      </c>
      <c r="Q9" s="167">
        <v>-12579</v>
      </c>
    </row>
    <row r="10" spans="2:17" x14ac:dyDescent="0.25">
      <c r="B10" s="20" t="s">
        <v>219</v>
      </c>
      <c r="C10" s="24">
        <f>'Balance Sheet'!C19</f>
        <v>17043</v>
      </c>
      <c r="D10" s="24">
        <f>'Balance Sheet'!D19</f>
        <v>18161</v>
      </c>
      <c r="E10" s="24">
        <f>'Balance Sheet'!E19</f>
        <v>19681</v>
      </c>
      <c r="F10" s="24">
        <f>'Balance Sheet'!F19</f>
        <v>20890</v>
      </c>
      <c r="G10" s="31"/>
      <c r="H10" s="31"/>
      <c r="I10" s="31"/>
      <c r="J10" s="31"/>
      <c r="K10" s="31"/>
      <c r="L10" s="31"/>
      <c r="M10" s="31">
        <f>M8+M9</f>
        <v>0</v>
      </c>
      <c r="N10" s="31">
        <f>N8+N9</f>
        <v>0</v>
      </c>
      <c r="O10" s="31">
        <f>O8+O9</f>
        <v>21527</v>
      </c>
      <c r="P10" s="31">
        <f>P8+P9</f>
        <v>0</v>
      </c>
      <c r="Q10" s="168">
        <f>Q8+Q9</f>
        <v>21527</v>
      </c>
    </row>
    <row r="12" spans="2:17" hidden="1" x14ac:dyDescent="0.25">
      <c r="B12" t="s">
        <v>412</v>
      </c>
      <c r="C12" s="27"/>
      <c r="D12" s="27">
        <v>2502</v>
      </c>
      <c r="E12" s="27">
        <v>2969</v>
      </c>
      <c r="F12" s="27">
        <v>2998</v>
      </c>
      <c r="G12" s="27"/>
      <c r="H12" s="27"/>
      <c r="I12" s="27"/>
      <c r="J12" s="27"/>
      <c r="K12" s="27"/>
      <c r="L12" s="27"/>
    </row>
    <row r="13" spans="2:17" x14ac:dyDescent="0.25">
      <c r="B13" s="20" t="s">
        <v>851</v>
      </c>
      <c r="C13" s="27"/>
      <c r="D13" s="56">
        <v>2502</v>
      </c>
      <c r="E13" s="56">
        <v>2969</v>
      </c>
      <c r="F13" s="56">
        <v>2998</v>
      </c>
      <c r="G13" s="56"/>
      <c r="H13" s="56"/>
      <c r="I13" s="56"/>
      <c r="J13" s="56"/>
      <c r="K13" s="56"/>
      <c r="L13" s="56"/>
      <c r="O13">
        <v>1480</v>
      </c>
    </row>
    <row r="14" spans="2:17" x14ac:dyDescent="0.25">
      <c r="B14" s="20" t="s">
        <v>727</v>
      </c>
      <c r="D14" s="27">
        <f>D13/'Revenue, Cost, WC'!D15</f>
        <v>610.24390243902099</v>
      </c>
      <c r="E14" s="27">
        <f>E13/'Revenue, Cost, WC'!E15</f>
        <v>873.23529411764923</v>
      </c>
      <c r="F14" s="27">
        <f>F13/'Revenue, Cost, WC'!F15</f>
        <v>936.8749999999992</v>
      </c>
      <c r="G14" s="55"/>
      <c r="H14" s="55"/>
      <c r="I14" s="55"/>
      <c r="J14" s="55"/>
      <c r="K14" s="55"/>
      <c r="L14" s="55"/>
      <c r="M14" s="55">
        <f t="shared" ref="M14:P14" si="0">L14</f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28"/>
    </row>
    <row r="15" spans="2:17" x14ac:dyDescent="0.25">
      <c r="Q15" s="27"/>
    </row>
    <row r="16" spans="2:17" x14ac:dyDescent="0.25">
      <c r="B16" s="20" t="s">
        <v>871</v>
      </c>
      <c r="D16" s="25">
        <f>'Income Stmt'!D10</f>
        <v>1370</v>
      </c>
      <c r="E16" s="25">
        <f>'Income Stmt'!E10</f>
        <v>1437</v>
      </c>
      <c r="F16" s="25">
        <f>'Income Stmt'!F10</f>
        <v>1492</v>
      </c>
      <c r="G16" s="27"/>
      <c r="H16" s="27"/>
      <c r="I16" s="27"/>
      <c r="J16" s="27"/>
      <c r="K16" s="27"/>
      <c r="L16" s="27"/>
      <c r="O16">
        <v>843</v>
      </c>
      <c r="Q16" t="s">
        <v>852</v>
      </c>
    </row>
    <row r="17" spans="2:17" x14ac:dyDescent="0.25">
      <c r="B17" s="20" t="s">
        <v>870</v>
      </c>
      <c r="C17" s="13"/>
      <c r="D17" s="13">
        <f>D16/D8</f>
        <v>4.8339860978793975E-2</v>
      </c>
      <c r="E17" s="13">
        <f>E16/E8</f>
        <v>4.6786481734713808E-2</v>
      </c>
      <c r="F17" s="13">
        <f>F16/F8</f>
        <v>4.5730399068227796E-2</v>
      </c>
      <c r="G17" s="54"/>
      <c r="H17" s="54"/>
      <c r="I17" s="54"/>
      <c r="J17" s="54"/>
      <c r="K17" s="54"/>
      <c r="L17" s="54"/>
      <c r="O17">
        <v>2.4717058582067672E-2</v>
      </c>
    </row>
    <row r="19" spans="2:17" x14ac:dyDescent="0.25">
      <c r="B19" s="20"/>
    </row>
    <row r="20" spans="2:17" x14ac:dyDescent="0.25">
      <c r="B20" s="20"/>
      <c r="D20" s="25"/>
      <c r="E20" s="25"/>
      <c r="F20" s="25"/>
      <c r="G20" s="25"/>
      <c r="H20" s="25"/>
      <c r="I20" s="25"/>
      <c r="J20" s="25"/>
      <c r="K20" s="25"/>
      <c r="L20" s="25"/>
      <c r="O20">
        <v>703</v>
      </c>
    </row>
    <row r="21" spans="2:17" x14ac:dyDescent="0.25">
      <c r="B21" s="20"/>
      <c r="G21" s="27"/>
      <c r="H21" s="27"/>
      <c r="I21" s="27"/>
      <c r="J21" s="27"/>
      <c r="K21" s="27"/>
      <c r="L21" s="27"/>
      <c r="O21">
        <v>2114.2857142857488</v>
      </c>
    </row>
    <row r="22" spans="2:17" x14ac:dyDescent="0.25">
      <c r="N22" t="s">
        <v>781</v>
      </c>
      <c r="Q22" s="25"/>
    </row>
    <row r="23" spans="2:17" x14ac:dyDescent="0.25">
      <c r="M23">
        <v>700</v>
      </c>
      <c r="N23">
        <v>3</v>
      </c>
      <c r="O23">
        <f>M23/N23</f>
        <v>233.33333333333334</v>
      </c>
    </row>
    <row r="24" spans="2:17" x14ac:dyDescent="0.25">
      <c r="F24" s="25"/>
      <c r="G24" s="27"/>
      <c r="H24" s="27"/>
      <c r="I24" s="27"/>
      <c r="J24" s="27"/>
      <c r="K24" s="27"/>
      <c r="L24" s="27"/>
      <c r="M24">
        <v>545</v>
      </c>
      <c r="N24">
        <v>0</v>
      </c>
    </row>
    <row r="25" spans="2:17" x14ac:dyDescent="0.25">
      <c r="M25">
        <v>626</v>
      </c>
      <c r="N25">
        <v>2</v>
      </c>
      <c r="O25">
        <f>M25/N25</f>
        <v>313</v>
      </c>
    </row>
    <row r="26" spans="2:17" x14ac:dyDescent="0.25">
      <c r="M26">
        <f>M27-SUM(M23:M25)</f>
        <v>929</v>
      </c>
      <c r="N26">
        <v>8</v>
      </c>
      <c r="O26">
        <f>M26/N26</f>
        <v>116.125</v>
      </c>
    </row>
    <row r="27" spans="2:17" x14ac:dyDescent="0.25">
      <c r="M27">
        <v>2800</v>
      </c>
    </row>
    <row r="28" spans="2:17" x14ac:dyDescent="0.25">
      <c r="D28" s="25"/>
      <c r="E28" s="25"/>
      <c r="F28" s="25"/>
      <c r="G28" s="25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-0.499984740745262"/>
  </sheetPr>
  <dimension ref="B1:O39"/>
  <sheetViews>
    <sheetView topLeftCell="B1" workbookViewId="0">
      <selection activeCell="G17" sqref="G17"/>
    </sheetView>
  </sheetViews>
  <sheetFormatPr defaultRowHeight="11.5" x14ac:dyDescent="0.25"/>
  <cols>
    <col min="1" max="1" width="4.19921875" customWidth="1"/>
    <col min="2" max="2" width="34.69921875" customWidth="1"/>
    <col min="8" max="12" width="8.69921875" customWidth="1"/>
    <col min="13" max="13" width="8.09765625" customWidth="1"/>
    <col min="14" max="14" width="30.69921875" customWidth="1"/>
  </cols>
  <sheetData>
    <row r="1" spans="2:15" x14ac:dyDescent="0.25">
      <c r="G1" t="s">
        <v>767</v>
      </c>
      <c r="H1">
        <v>1</v>
      </c>
      <c r="I1">
        <v>2</v>
      </c>
      <c r="J1">
        <v>3</v>
      </c>
      <c r="K1">
        <v>4</v>
      </c>
    </row>
    <row r="2" spans="2:15" ht="14.5" x14ac:dyDescent="0.35">
      <c r="C2" s="165">
        <v>2016</v>
      </c>
      <c r="D2" s="165">
        <v>2017</v>
      </c>
      <c r="E2" s="165">
        <v>2018</v>
      </c>
      <c r="F2" s="165">
        <v>2019</v>
      </c>
      <c r="G2" s="50">
        <v>2020</v>
      </c>
      <c r="H2" s="49">
        <v>2021</v>
      </c>
      <c r="I2" s="49">
        <v>2022</v>
      </c>
      <c r="J2" s="49">
        <v>2023</v>
      </c>
      <c r="K2" s="49">
        <v>2024</v>
      </c>
      <c r="L2" s="49">
        <v>2025</v>
      </c>
      <c r="N2" t="s">
        <v>730</v>
      </c>
      <c r="O2" s="29">
        <v>2.1999999999999999E-2</v>
      </c>
    </row>
    <row r="3" spans="2:15" x14ac:dyDescent="0.25">
      <c r="B3" s="20" t="s">
        <v>725</v>
      </c>
      <c r="C3" s="18">
        <f>'Balance Sheet'!C35</f>
        <v>4061</v>
      </c>
      <c r="D3" s="18">
        <f>'Balance Sheet'!D35</f>
        <v>6573</v>
      </c>
      <c r="E3" s="18">
        <f>'Balance Sheet'!E35</f>
        <v>6487</v>
      </c>
      <c r="F3" s="18">
        <f>'Balance Sheet'!F35</f>
        <v>5124</v>
      </c>
      <c r="G3" s="18">
        <f>F3+F4+2272</f>
        <v>9095</v>
      </c>
      <c r="H3" s="18"/>
      <c r="I3" s="18"/>
      <c r="J3" s="18"/>
      <c r="K3" s="18"/>
      <c r="L3" s="18"/>
      <c r="N3" t="s">
        <v>732</v>
      </c>
      <c r="O3" s="11">
        <f>ROUNDUP(2206/201,0)</f>
        <v>11</v>
      </c>
    </row>
    <row r="4" spans="2:15" x14ac:dyDescent="0.25">
      <c r="B4" s="20" t="s">
        <v>205</v>
      </c>
      <c r="C4" s="18">
        <f>'Balance Sheet'!C31</f>
        <v>1100</v>
      </c>
      <c r="D4" s="18">
        <f>'Balance Sheet'!D31</f>
        <v>86</v>
      </c>
      <c r="E4" s="18">
        <f>'Balance Sheet'!E31</f>
        <v>90</v>
      </c>
      <c r="F4" s="18">
        <f>'Balance Sheet'!F31</f>
        <v>1699</v>
      </c>
      <c r="G4" s="18"/>
      <c r="H4" s="18"/>
      <c r="I4" s="18"/>
      <c r="J4" s="18"/>
      <c r="K4" s="18"/>
      <c r="L4" s="18"/>
    </row>
    <row r="5" spans="2:15" x14ac:dyDescent="0.25">
      <c r="B5" t="s">
        <v>746</v>
      </c>
      <c r="C5" s="18"/>
      <c r="D5" s="18"/>
      <c r="E5" s="18"/>
      <c r="F5" s="18"/>
      <c r="G5" s="18">
        <v>0</v>
      </c>
      <c r="H5" s="18"/>
      <c r="I5" s="18"/>
      <c r="J5" s="18"/>
      <c r="K5" s="18"/>
      <c r="L5" s="18"/>
    </row>
    <row r="6" spans="2:15" x14ac:dyDescent="0.25">
      <c r="B6" s="20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2:15" x14ac:dyDescent="0.25">
      <c r="B7" t="s">
        <v>744</v>
      </c>
      <c r="C7" s="13">
        <f>-'Income Stmt'!C15/(C3+C4)</f>
        <v>2.5770199573726022E-2</v>
      </c>
      <c r="D7" s="13">
        <f>-'Income Stmt'!D15/(D3+D4)</f>
        <v>2.0123141612854781E-2</v>
      </c>
      <c r="E7" s="13">
        <f>-'Income Stmt'!E15/(E3+E4)</f>
        <v>2.4175155846130454E-2</v>
      </c>
      <c r="F7" s="13">
        <f>-'Income Stmt'!F15/(F3+F4)</f>
        <v>2.1984464311886266E-2</v>
      </c>
      <c r="G7" s="53">
        <v>2.1999999999999999E-2</v>
      </c>
      <c r="H7" s="53"/>
      <c r="I7" s="53"/>
      <c r="J7" s="53"/>
      <c r="K7" s="53"/>
      <c r="L7" s="53"/>
    </row>
    <row r="8" spans="2:15" x14ac:dyDescent="0.25">
      <c r="B8" t="s">
        <v>853</v>
      </c>
      <c r="C8" s="13"/>
      <c r="D8" s="18">
        <f>-'Income Stmt'!D15</f>
        <v>134</v>
      </c>
      <c r="E8" s="18">
        <f>-'Income Stmt'!E15</f>
        <v>159</v>
      </c>
      <c r="F8" s="18">
        <f>-'Income Stmt'!F15</f>
        <v>150</v>
      </c>
      <c r="G8" s="40">
        <f>(G7*G3)+$G$18</f>
        <v>439.09</v>
      </c>
      <c r="H8" s="40"/>
      <c r="I8" s="40"/>
      <c r="J8" s="40"/>
      <c r="K8" s="40"/>
      <c r="L8" s="40"/>
      <c r="N8" t="s">
        <v>883</v>
      </c>
    </row>
    <row r="9" spans="2:15" ht="12" thickBot="1" x14ac:dyDescent="0.3">
      <c r="C9" s="13"/>
      <c r="D9" s="18"/>
      <c r="E9" s="18"/>
      <c r="F9" s="18"/>
      <c r="G9" s="18"/>
      <c r="H9" s="18"/>
      <c r="I9" s="18"/>
      <c r="J9" s="18"/>
      <c r="K9" s="18"/>
      <c r="L9" s="18"/>
    </row>
    <row r="10" spans="2:15" x14ac:dyDescent="0.25">
      <c r="B10" s="256" t="s">
        <v>872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8"/>
    </row>
    <row r="11" spans="2:15" x14ac:dyDescent="0.25">
      <c r="B11" s="182" t="s">
        <v>745</v>
      </c>
      <c r="C11" s="68"/>
      <c r="D11" s="68">
        <v>258</v>
      </c>
      <c r="E11" s="68">
        <v>265</v>
      </c>
      <c r="F11" s="68">
        <v>268</v>
      </c>
      <c r="G11" s="68">
        <v>239</v>
      </c>
      <c r="H11" s="68">
        <v>229</v>
      </c>
      <c r="I11" s="68">
        <v>202</v>
      </c>
      <c r="J11" s="68">
        <v>193</v>
      </c>
      <c r="K11" s="68">
        <v>181</v>
      </c>
      <c r="L11" s="183">
        <f>2206/$O$3</f>
        <v>200.54545454545453</v>
      </c>
    </row>
    <row r="12" spans="2:15" x14ac:dyDescent="0.25">
      <c r="B12" s="182" t="s">
        <v>729</v>
      </c>
      <c r="C12" s="68"/>
      <c r="D12" s="68"/>
      <c r="E12" s="68"/>
      <c r="F12" s="68"/>
      <c r="G12" s="68"/>
      <c r="H12" s="68"/>
      <c r="I12" s="68"/>
      <c r="J12" s="68"/>
      <c r="K12" s="68"/>
      <c r="L12" s="183"/>
    </row>
    <row r="13" spans="2:15" ht="12" x14ac:dyDescent="0.3">
      <c r="B13" s="182" t="s">
        <v>731</v>
      </c>
      <c r="C13" s="60"/>
      <c r="D13" s="60"/>
      <c r="E13" s="60"/>
      <c r="F13" s="60"/>
      <c r="G13" s="68">
        <f>SUM(H12:L12)</f>
        <v>0</v>
      </c>
      <c r="H13" s="231" t="s">
        <v>886</v>
      </c>
      <c r="I13" s="68"/>
      <c r="J13" s="68"/>
      <c r="K13" s="68"/>
      <c r="L13" s="183"/>
    </row>
    <row r="14" spans="2:15" x14ac:dyDescent="0.25">
      <c r="B14" s="182"/>
      <c r="C14" s="68"/>
      <c r="D14" s="68"/>
      <c r="E14" s="68"/>
      <c r="F14" s="68"/>
      <c r="G14" s="68"/>
      <c r="H14" s="68"/>
      <c r="I14" s="68"/>
      <c r="J14" s="68"/>
      <c r="K14" s="68"/>
      <c r="L14" s="183"/>
    </row>
    <row r="15" spans="2:15" x14ac:dyDescent="0.25">
      <c r="B15" s="182" t="s">
        <v>875</v>
      </c>
      <c r="C15" s="60"/>
      <c r="D15" s="60"/>
      <c r="E15" s="60"/>
      <c r="F15" s="60"/>
      <c r="G15" s="72">
        <f>K1+O3</f>
        <v>15</v>
      </c>
      <c r="H15" s="68"/>
      <c r="I15" s="68"/>
      <c r="J15" s="68"/>
      <c r="K15" s="68"/>
      <c r="L15" s="183"/>
      <c r="N15" s="18"/>
    </row>
    <row r="16" spans="2:15" ht="12" x14ac:dyDescent="0.3">
      <c r="B16" s="182" t="s">
        <v>733</v>
      </c>
      <c r="C16" s="68"/>
      <c r="D16" s="68"/>
      <c r="E16" s="68"/>
      <c r="F16" s="68"/>
      <c r="G16" s="68">
        <f>G13/G15</f>
        <v>0</v>
      </c>
      <c r="H16" s="191" t="s">
        <v>884</v>
      </c>
      <c r="I16" s="68"/>
      <c r="J16" s="68"/>
      <c r="K16" s="68"/>
      <c r="L16" s="183"/>
    </row>
    <row r="17" spans="2:12" ht="12" x14ac:dyDescent="0.3">
      <c r="B17" s="182" t="s">
        <v>734</v>
      </c>
      <c r="C17" s="68"/>
      <c r="D17" s="68"/>
      <c r="E17" s="68"/>
      <c r="F17" s="68"/>
      <c r="G17" s="68">
        <f>G11</f>
        <v>239</v>
      </c>
      <c r="H17" s="191" t="s">
        <v>885</v>
      </c>
      <c r="I17" s="68"/>
      <c r="J17" s="68"/>
      <c r="K17" s="68"/>
      <c r="L17" s="183"/>
    </row>
    <row r="18" spans="2:12" ht="12" x14ac:dyDescent="0.3">
      <c r="B18" s="182" t="s">
        <v>735</v>
      </c>
      <c r="C18" s="68"/>
      <c r="D18" s="68"/>
      <c r="E18" s="68"/>
      <c r="F18" s="68"/>
      <c r="G18" s="68">
        <f>G17-G16</f>
        <v>239</v>
      </c>
      <c r="H18" s="191"/>
      <c r="I18" s="68"/>
      <c r="J18" s="68"/>
      <c r="K18" s="68"/>
      <c r="L18" s="183"/>
    </row>
    <row r="19" spans="2:12" hidden="1" x14ac:dyDescent="0.25">
      <c r="B19" s="182" t="s">
        <v>736</v>
      </c>
      <c r="C19" s="60"/>
      <c r="D19" s="60"/>
      <c r="E19" s="60"/>
      <c r="F19" s="60"/>
      <c r="G19" s="68">
        <f>G13</f>
        <v>0</v>
      </c>
      <c r="I19" s="60"/>
      <c r="J19" s="60"/>
      <c r="K19" s="60"/>
      <c r="L19" s="184"/>
    </row>
    <row r="20" spans="2:12" hidden="1" x14ac:dyDescent="0.25">
      <c r="B20" s="182" t="s">
        <v>737</v>
      </c>
      <c r="C20" s="60"/>
      <c r="D20" s="60"/>
      <c r="E20" s="60"/>
      <c r="F20" s="60"/>
      <c r="G20" s="68">
        <f>G16</f>
        <v>0</v>
      </c>
      <c r="H20" s="60"/>
      <c r="I20" s="60"/>
      <c r="J20" s="60"/>
      <c r="K20" s="60"/>
      <c r="L20" s="184"/>
    </row>
    <row r="21" spans="2:12" x14ac:dyDescent="0.25">
      <c r="B21" s="182"/>
      <c r="C21" s="60"/>
      <c r="D21" s="60"/>
      <c r="E21" s="60"/>
      <c r="F21" s="60"/>
      <c r="G21" s="60"/>
      <c r="H21" s="60"/>
      <c r="I21" s="60"/>
      <c r="J21" s="60"/>
      <c r="K21" s="60"/>
      <c r="L21" s="184"/>
    </row>
    <row r="22" spans="2:12" hidden="1" x14ac:dyDescent="0.25">
      <c r="B22" s="182"/>
      <c r="C22" s="60"/>
      <c r="D22" s="60"/>
      <c r="E22" s="60"/>
      <c r="F22" s="60"/>
      <c r="G22" s="60"/>
      <c r="H22" s="60"/>
      <c r="I22" s="60"/>
      <c r="J22" s="60"/>
      <c r="K22" s="60"/>
      <c r="L22" s="184"/>
    </row>
    <row r="23" spans="2:12" hidden="1" x14ac:dyDescent="0.25">
      <c r="B23" s="186" t="s">
        <v>205</v>
      </c>
      <c r="C23" s="84">
        <v>1100</v>
      </c>
      <c r="D23" s="84">
        <v>86</v>
      </c>
      <c r="E23" s="84">
        <v>90</v>
      </c>
      <c r="F23" s="84">
        <v>1699</v>
      </c>
      <c r="G23" s="84">
        <v>1497</v>
      </c>
      <c r="H23" s="84">
        <v>1094</v>
      </c>
      <c r="I23" s="84">
        <v>1300</v>
      </c>
      <c r="J23" s="84">
        <v>94</v>
      </c>
      <c r="K23" s="84">
        <v>1113</v>
      </c>
      <c r="L23" s="187">
        <v>1551</v>
      </c>
    </row>
    <row r="24" spans="2:12" hidden="1" x14ac:dyDescent="0.25">
      <c r="B24" s="182"/>
      <c r="C24" s="60"/>
      <c r="D24" s="60"/>
      <c r="E24" s="60"/>
      <c r="F24" s="60"/>
      <c r="G24" s="60"/>
      <c r="H24" s="60"/>
      <c r="I24" s="60"/>
      <c r="J24" s="60"/>
      <c r="K24" s="60"/>
      <c r="L24" s="184"/>
    </row>
    <row r="25" spans="2:12" hidden="1" x14ac:dyDescent="0.25">
      <c r="B25" s="179" t="s">
        <v>305</v>
      </c>
      <c r="C25" s="62"/>
      <c r="D25" s="62"/>
      <c r="E25" s="62"/>
      <c r="F25" s="62"/>
      <c r="G25" s="62">
        <v>7598</v>
      </c>
      <c r="H25" s="60"/>
      <c r="I25" s="60"/>
      <c r="J25" s="60"/>
      <c r="K25" s="60"/>
      <c r="L25" s="184"/>
    </row>
    <row r="26" spans="2:12" hidden="1" x14ac:dyDescent="0.25">
      <c r="B26" s="179" t="s">
        <v>205</v>
      </c>
      <c r="C26" s="62"/>
      <c r="D26" s="62"/>
      <c r="E26" s="62"/>
      <c r="F26" s="62"/>
      <c r="G26" s="62">
        <v>1497</v>
      </c>
      <c r="H26" s="60"/>
      <c r="I26" s="60"/>
      <c r="J26" s="60"/>
      <c r="K26" s="60"/>
      <c r="L26" s="184"/>
    </row>
    <row r="27" spans="2:12" hidden="1" x14ac:dyDescent="0.25">
      <c r="B27" s="182"/>
      <c r="C27" s="60"/>
      <c r="D27" s="60"/>
      <c r="E27" s="60"/>
      <c r="F27" s="60"/>
      <c r="G27" s="60"/>
      <c r="H27" s="60"/>
      <c r="I27" s="60"/>
      <c r="J27" s="60"/>
      <c r="K27" s="60"/>
      <c r="L27" s="184"/>
    </row>
    <row r="28" spans="2:12" hidden="1" x14ac:dyDescent="0.25">
      <c r="B28" s="182" t="s">
        <v>773</v>
      </c>
      <c r="C28" s="60"/>
      <c r="D28" s="60"/>
      <c r="E28" s="60"/>
      <c r="F28" s="60"/>
      <c r="G28" s="68">
        <f>G25+G26-G3</f>
        <v>0</v>
      </c>
      <c r="H28" s="60"/>
      <c r="I28" s="60"/>
      <c r="J28" s="60"/>
      <c r="K28" s="60"/>
      <c r="L28" s="184"/>
    </row>
    <row r="29" spans="2:12" hidden="1" x14ac:dyDescent="0.25">
      <c r="B29" s="182"/>
      <c r="C29" s="60"/>
      <c r="D29" s="60"/>
      <c r="E29" s="60"/>
      <c r="F29" s="60"/>
      <c r="G29" s="60"/>
      <c r="H29" s="60"/>
      <c r="I29" s="60"/>
      <c r="J29" s="60"/>
      <c r="K29" s="60"/>
      <c r="L29" s="184"/>
    </row>
    <row r="30" spans="2:12" hidden="1" x14ac:dyDescent="0.25">
      <c r="B30" s="182"/>
      <c r="C30" s="60"/>
      <c r="D30" s="60"/>
      <c r="E30" s="60"/>
      <c r="F30" s="60"/>
      <c r="G30" s="68">
        <f>G25+G26+G19</f>
        <v>9095</v>
      </c>
      <c r="H30" s="60"/>
      <c r="I30" s="60"/>
      <c r="J30" s="60"/>
      <c r="K30" s="60"/>
      <c r="L30" s="184"/>
    </row>
    <row r="31" spans="2:12" hidden="1" x14ac:dyDescent="0.25">
      <c r="B31" s="182"/>
      <c r="C31" s="60"/>
      <c r="D31" s="60"/>
      <c r="E31" s="60"/>
      <c r="F31" s="60"/>
      <c r="G31" s="68">
        <f>G30-G3</f>
        <v>0</v>
      </c>
      <c r="H31" s="60" t="s">
        <v>774</v>
      </c>
      <c r="I31" s="60"/>
      <c r="J31" s="60"/>
      <c r="K31" s="60"/>
      <c r="L31" s="184"/>
    </row>
    <row r="32" spans="2:12" hidden="1" x14ac:dyDescent="0.25">
      <c r="B32" s="182"/>
      <c r="C32" s="60"/>
      <c r="D32" s="60"/>
      <c r="E32" s="60"/>
      <c r="F32" s="60"/>
      <c r="G32" s="68">
        <f>G31-G13</f>
        <v>0</v>
      </c>
      <c r="H32" s="60"/>
      <c r="I32" s="60"/>
      <c r="J32" s="60"/>
      <c r="K32" s="60"/>
      <c r="L32" s="184"/>
    </row>
    <row r="33" spans="2:12" hidden="1" x14ac:dyDescent="0.25">
      <c r="B33" s="182"/>
      <c r="C33" s="60"/>
      <c r="D33" s="60"/>
      <c r="E33" s="60"/>
      <c r="F33" s="60"/>
      <c r="G33" s="68">
        <f>G25+G26-G3</f>
        <v>0</v>
      </c>
      <c r="H33" s="60"/>
      <c r="I33" s="60"/>
      <c r="J33" s="60"/>
      <c r="K33" s="60"/>
      <c r="L33" s="184"/>
    </row>
    <row r="34" spans="2:12" ht="12" thickBot="1" x14ac:dyDescent="0.3">
      <c r="B34" s="185" t="s">
        <v>731</v>
      </c>
      <c r="C34" s="188"/>
      <c r="D34" s="188"/>
      <c r="E34" s="188"/>
      <c r="F34" s="188"/>
      <c r="G34" s="189">
        <f>G13</f>
        <v>0</v>
      </c>
      <c r="H34" s="188"/>
      <c r="I34" s="188"/>
      <c r="J34" s="188"/>
      <c r="K34" s="188"/>
      <c r="L34" s="190"/>
    </row>
    <row r="39" spans="2:12" x14ac:dyDescent="0.25">
      <c r="G39" s="21">
        <v>2272</v>
      </c>
    </row>
  </sheetData>
  <mergeCells count="1">
    <mergeCell ref="B10:L10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0.39997558519241921"/>
  </sheetPr>
  <dimension ref="A1"/>
  <sheetViews>
    <sheetView showGridLines="0" workbookViewId="0">
      <selection activeCell="I34" sqref="I34"/>
    </sheetView>
  </sheetViews>
  <sheetFormatPr defaultRowHeight="11.5" x14ac:dyDescent="0.25"/>
  <sheetData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 tint="0.39997558519241921"/>
  </sheetPr>
  <dimension ref="B1:O52"/>
  <sheetViews>
    <sheetView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E65" sqref="E65"/>
    </sheetView>
  </sheetViews>
  <sheetFormatPr defaultRowHeight="11.5" x14ac:dyDescent="0.25"/>
  <cols>
    <col min="1" max="1" width="2.5" customWidth="1"/>
    <col min="2" max="2" width="44.69921875" customWidth="1"/>
    <col min="6" max="6" width="9.8984375" customWidth="1"/>
    <col min="7" max="7" width="10.5" bestFit="1" customWidth="1"/>
  </cols>
  <sheetData>
    <row r="1" spans="2:12" ht="12" x14ac:dyDescent="0.3">
      <c r="B1" s="2" t="s">
        <v>3</v>
      </c>
      <c r="F1" s="18"/>
      <c r="G1" t="s">
        <v>767</v>
      </c>
    </row>
    <row r="2" spans="2:12" ht="15" thickBot="1" x14ac:dyDescent="0.4">
      <c r="B2" s="2" t="s">
        <v>3</v>
      </c>
      <c r="C2" s="165">
        <v>2016</v>
      </c>
      <c r="D2" s="165">
        <v>2017</v>
      </c>
      <c r="E2" s="165">
        <v>2018</v>
      </c>
      <c r="F2" s="165">
        <v>2019</v>
      </c>
      <c r="G2" s="50">
        <v>2020</v>
      </c>
      <c r="H2" s="49">
        <v>2021</v>
      </c>
      <c r="I2" s="49">
        <v>2022</v>
      </c>
      <c r="J2" s="49">
        <v>2023</v>
      </c>
      <c r="K2" s="49">
        <v>2024</v>
      </c>
      <c r="L2" s="49">
        <v>2025</v>
      </c>
    </row>
    <row r="3" spans="2:12" x14ac:dyDescent="0.25">
      <c r="B3" s="144" t="s">
        <v>212</v>
      </c>
      <c r="C3" s="145"/>
      <c r="D3" s="145"/>
      <c r="E3" s="145"/>
      <c r="F3" s="146"/>
      <c r="G3" s="145"/>
      <c r="H3" s="145"/>
      <c r="I3" s="145"/>
      <c r="J3" s="145"/>
      <c r="K3" s="145"/>
      <c r="L3" s="147"/>
    </row>
    <row r="4" spans="2:12" x14ac:dyDescent="0.25">
      <c r="B4" s="148" t="s">
        <v>191</v>
      </c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2" x14ac:dyDescent="0.25">
      <c r="B5" s="151" t="s">
        <v>192</v>
      </c>
      <c r="C5" s="79">
        <v>3379</v>
      </c>
      <c r="D5" s="79">
        <v>4546</v>
      </c>
      <c r="E5" s="79">
        <v>6055</v>
      </c>
      <c r="F5" s="79">
        <v>8384</v>
      </c>
      <c r="G5" s="79"/>
      <c r="H5" s="79"/>
      <c r="I5" s="79"/>
      <c r="J5" s="79"/>
      <c r="K5" s="79"/>
      <c r="L5" s="152"/>
    </row>
    <row r="6" spans="2:12" x14ac:dyDescent="0.25">
      <c r="B6" s="151" t="s">
        <v>193</v>
      </c>
      <c r="C6" s="79">
        <v>1350</v>
      </c>
      <c r="D6" s="79">
        <v>1233</v>
      </c>
      <c r="E6" s="79">
        <v>1204</v>
      </c>
      <c r="F6" s="79">
        <v>1060</v>
      </c>
      <c r="G6" s="79"/>
      <c r="H6" s="79"/>
      <c r="I6" s="79"/>
      <c r="J6" s="79"/>
      <c r="K6" s="79"/>
      <c r="L6" s="152"/>
    </row>
    <row r="7" spans="2:12" x14ac:dyDescent="0.25">
      <c r="B7" s="151" t="s">
        <v>194</v>
      </c>
      <c r="C7" s="79">
        <v>1252</v>
      </c>
      <c r="D7" s="79">
        <v>1432</v>
      </c>
      <c r="E7" s="79">
        <v>1669</v>
      </c>
      <c r="F7" s="79">
        <v>1535</v>
      </c>
      <c r="G7" s="79"/>
      <c r="H7" s="79"/>
      <c r="I7" s="79"/>
      <c r="J7" s="79"/>
      <c r="K7" s="79"/>
      <c r="L7" s="152"/>
    </row>
    <row r="8" spans="2:12" x14ac:dyDescent="0.25">
      <c r="B8" s="151" t="s">
        <v>195</v>
      </c>
      <c r="C8" s="79">
        <v>8969</v>
      </c>
      <c r="D8" s="79">
        <v>9834</v>
      </c>
      <c r="E8" s="79">
        <v>11040</v>
      </c>
      <c r="F8" s="79">
        <v>11395</v>
      </c>
      <c r="G8" s="79"/>
      <c r="H8" s="79"/>
      <c r="I8" s="79"/>
      <c r="J8" s="79"/>
      <c r="K8" s="79"/>
      <c r="L8" s="152"/>
    </row>
    <row r="9" spans="2:12" x14ac:dyDescent="0.25">
      <c r="B9" s="151" t="s">
        <v>196</v>
      </c>
      <c r="C9" s="79">
        <v>268</v>
      </c>
      <c r="D9" s="79">
        <v>272</v>
      </c>
      <c r="E9" s="79">
        <v>321</v>
      </c>
      <c r="F9" s="79">
        <v>1111</v>
      </c>
      <c r="G9" s="79"/>
      <c r="H9" s="79"/>
      <c r="I9" s="79"/>
      <c r="J9" s="79"/>
      <c r="K9" s="79"/>
      <c r="L9" s="152"/>
    </row>
    <row r="10" spans="2:12" x14ac:dyDescent="0.25">
      <c r="B10" s="148" t="s">
        <v>197</v>
      </c>
      <c r="C10" s="153">
        <f>SUM(C5:C9)</f>
        <v>15218</v>
      </c>
      <c r="D10" s="153">
        <f>SUM(D5:D9)</f>
        <v>17317</v>
      </c>
      <c r="E10" s="153">
        <f>SUM(E5:E9)</f>
        <v>20289</v>
      </c>
      <c r="F10" s="153">
        <f>SUM(F5:F9)</f>
        <v>23485</v>
      </c>
      <c r="G10" s="153"/>
      <c r="H10" s="153"/>
      <c r="I10" s="153"/>
      <c r="J10" s="153"/>
      <c r="K10" s="153"/>
      <c r="L10" s="232"/>
    </row>
    <row r="11" spans="2:12" x14ac:dyDescent="0.25">
      <c r="B11" s="148"/>
      <c r="C11" s="153"/>
      <c r="D11" s="153"/>
      <c r="E11" s="153"/>
      <c r="F11" s="153"/>
      <c r="G11" s="153"/>
      <c r="H11" s="79"/>
      <c r="I11" s="79"/>
      <c r="J11" s="79"/>
      <c r="K11" s="79"/>
      <c r="L11" s="152"/>
    </row>
    <row r="12" spans="2:12" ht="12" x14ac:dyDescent="0.3">
      <c r="B12" s="148" t="s">
        <v>213</v>
      </c>
      <c r="C12" s="154"/>
      <c r="D12" s="154"/>
      <c r="E12" s="154"/>
      <c r="F12" s="154"/>
      <c r="G12" s="154"/>
      <c r="H12" s="79"/>
      <c r="I12" s="79"/>
      <c r="J12" s="79"/>
      <c r="K12" s="79"/>
      <c r="L12" s="152"/>
    </row>
    <row r="13" spans="2:12" x14ac:dyDescent="0.25">
      <c r="B13" s="151" t="s">
        <v>214</v>
      </c>
      <c r="C13" s="149">
        <v>5395</v>
      </c>
      <c r="D13" s="149">
        <v>5690</v>
      </c>
      <c r="E13" s="79">
        <v>6193</v>
      </c>
      <c r="F13" s="79">
        <v>6417</v>
      </c>
      <c r="G13" s="79"/>
      <c r="H13" s="79"/>
      <c r="I13" s="79"/>
      <c r="J13" s="79"/>
      <c r="K13" s="79"/>
      <c r="L13" s="152"/>
    </row>
    <row r="14" spans="2:12" x14ac:dyDescent="0.25">
      <c r="B14" s="151" t="s">
        <v>215</v>
      </c>
      <c r="C14" s="149">
        <v>13994</v>
      </c>
      <c r="D14" s="149">
        <v>15127</v>
      </c>
      <c r="E14" s="79">
        <v>16107</v>
      </c>
      <c r="F14" s="79">
        <v>17136</v>
      </c>
      <c r="G14" s="79"/>
      <c r="H14" s="79"/>
      <c r="I14" s="79"/>
      <c r="J14" s="79"/>
      <c r="K14" s="79"/>
      <c r="L14" s="152"/>
    </row>
    <row r="15" spans="2:12" x14ac:dyDescent="0.25">
      <c r="B15" s="151" t="s">
        <v>216</v>
      </c>
      <c r="C15" s="149">
        <v>6077</v>
      </c>
      <c r="D15" s="149">
        <v>6681</v>
      </c>
      <c r="E15" s="79">
        <v>7274</v>
      </c>
      <c r="F15" s="79">
        <v>7801</v>
      </c>
      <c r="G15" s="79"/>
      <c r="H15" s="79"/>
      <c r="I15" s="79"/>
      <c r="J15" s="79"/>
      <c r="K15" s="79"/>
      <c r="L15" s="152"/>
    </row>
    <row r="16" spans="2:12" x14ac:dyDescent="0.25">
      <c r="B16" s="151" t="s">
        <v>217</v>
      </c>
      <c r="C16" s="149">
        <v>701</v>
      </c>
      <c r="D16" s="149">
        <v>843</v>
      </c>
      <c r="E16" s="79">
        <v>1140</v>
      </c>
      <c r="F16" s="79">
        <v>1272</v>
      </c>
      <c r="G16" s="79"/>
      <c r="H16" s="79"/>
      <c r="I16" s="79"/>
      <c r="J16" s="79"/>
      <c r="K16" s="79"/>
      <c r="L16" s="152"/>
    </row>
    <row r="17" spans="2:12" x14ac:dyDescent="0.25">
      <c r="B17" s="151" t="s">
        <v>3</v>
      </c>
      <c r="C17" s="153">
        <f>SUM(C13:C16)</f>
        <v>26167</v>
      </c>
      <c r="D17" s="153">
        <f>SUM(D13:D16)</f>
        <v>28341</v>
      </c>
      <c r="E17" s="153">
        <f>SUM(E13:E16)</f>
        <v>30714</v>
      </c>
      <c r="F17" s="153">
        <f>SUM(F13:F16)</f>
        <v>32626</v>
      </c>
      <c r="G17" s="153"/>
      <c r="H17" s="153"/>
      <c r="I17" s="153"/>
      <c r="J17" s="153"/>
      <c r="K17" s="153"/>
      <c r="L17" s="232"/>
    </row>
    <row r="18" spans="2:12" x14ac:dyDescent="0.25">
      <c r="B18" s="151" t="s">
        <v>218</v>
      </c>
      <c r="C18" s="155">
        <v>-9124</v>
      </c>
      <c r="D18" s="155">
        <v>-10180</v>
      </c>
      <c r="E18" s="155">
        <v>-11033</v>
      </c>
      <c r="F18" s="155">
        <v>-11736</v>
      </c>
      <c r="G18" s="155"/>
      <c r="H18" s="155"/>
      <c r="I18" s="155"/>
      <c r="J18" s="155"/>
      <c r="K18" s="155"/>
      <c r="L18" s="235"/>
    </row>
    <row r="19" spans="2:12" x14ac:dyDescent="0.25">
      <c r="B19" s="151" t="s">
        <v>219</v>
      </c>
      <c r="C19" s="153">
        <f>C17+C18</f>
        <v>17043</v>
      </c>
      <c r="D19" s="153">
        <f>D17+D18</f>
        <v>18161</v>
      </c>
      <c r="E19" s="153">
        <f>E17+E18</f>
        <v>19681</v>
      </c>
      <c r="F19" s="153">
        <f>F17+F18</f>
        <v>20890</v>
      </c>
      <c r="G19" s="153"/>
      <c r="H19" s="153"/>
      <c r="I19" s="153"/>
      <c r="J19" s="153"/>
      <c r="K19" s="153"/>
      <c r="L19" s="232"/>
    </row>
    <row r="20" spans="2:12" x14ac:dyDescent="0.25">
      <c r="B20" s="179" t="s">
        <v>849</v>
      </c>
      <c r="C20" s="180"/>
      <c r="D20" s="180"/>
      <c r="E20" s="180"/>
      <c r="F20" s="180"/>
      <c r="G20" s="181"/>
      <c r="H20" s="181"/>
      <c r="I20" s="181"/>
      <c r="J20" s="181"/>
      <c r="K20" s="181"/>
      <c r="L20" s="236"/>
    </row>
    <row r="21" spans="2:12" x14ac:dyDescent="0.25">
      <c r="B21" s="151" t="s">
        <v>723</v>
      </c>
      <c r="C21" s="79">
        <v>902</v>
      </c>
      <c r="D21" s="79">
        <v>869</v>
      </c>
      <c r="E21" s="79">
        <v>860</v>
      </c>
      <c r="F21" s="79">
        <v>1025</v>
      </c>
      <c r="G21" s="79"/>
      <c r="H21" s="79"/>
      <c r="I21" s="79"/>
      <c r="J21" s="79"/>
      <c r="K21" s="79"/>
      <c r="L21" s="152"/>
    </row>
    <row r="22" spans="2:12" x14ac:dyDescent="0.25">
      <c r="B22" s="151"/>
      <c r="C22" s="149"/>
      <c r="D22" s="149"/>
      <c r="E22" s="79"/>
      <c r="F22" s="79"/>
      <c r="G22" s="79"/>
      <c r="H22" s="79"/>
      <c r="I22" s="79"/>
      <c r="J22" s="79"/>
      <c r="K22" s="79"/>
      <c r="L22" s="152"/>
    </row>
    <row r="23" spans="2:12" ht="12" thickBot="1" x14ac:dyDescent="0.3">
      <c r="B23" s="156" t="s">
        <v>220</v>
      </c>
      <c r="C23" s="157">
        <f>C10+C19+C21</f>
        <v>33163</v>
      </c>
      <c r="D23" s="157">
        <f>D10+D19+D21</f>
        <v>36347</v>
      </c>
      <c r="E23" s="157">
        <f>E10+E19+E21</f>
        <v>40830</v>
      </c>
      <c r="F23" s="157">
        <f>F10+F19+F21</f>
        <v>45400</v>
      </c>
      <c r="G23" s="157"/>
      <c r="H23" s="157"/>
      <c r="I23" s="157"/>
      <c r="J23" s="157"/>
      <c r="K23" s="157"/>
      <c r="L23" s="237"/>
    </row>
    <row r="24" spans="2:12" ht="12" thickBot="1" x14ac:dyDescent="0.3">
      <c r="B24" s="59"/>
      <c r="C24" s="143"/>
      <c r="D24" s="143"/>
      <c r="E24" s="143"/>
      <c r="F24" s="143"/>
      <c r="G24" s="34"/>
      <c r="H24" s="34"/>
      <c r="I24" s="34"/>
      <c r="J24" s="34"/>
      <c r="K24" s="34"/>
      <c r="L24" s="34"/>
    </row>
    <row r="25" spans="2:12" x14ac:dyDescent="0.25">
      <c r="B25" s="144" t="s">
        <v>221</v>
      </c>
      <c r="C25" s="145"/>
      <c r="D25" s="145"/>
      <c r="E25" s="145"/>
      <c r="F25" s="145"/>
      <c r="G25" s="145"/>
      <c r="H25" s="146"/>
      <c r="I25" s="146"/>
      <c r="J25" s="146"/>
      <c r="K25" s="146"/>
      <c r="L25" s="158"/>
    </row>
    <row r="26" spans="2:12" x14ac:dyDescent="0.25">
      <c r="B26" s="148" t="s">
        <v>200</v>
      </c>
      <c r="C26" s="149"/>
      <c r="D26" s="149"/>
      <c r="E26" s="149"/>
      <c r="F26" s="149"/>
      <c r="G26" s="149"/>
      <c r="H26" s="79"/>
      <c r="I26" s="79"/>
      <c r="J26" s="79"/>
      <c r="K26" s="79"/>
      <c r="L26" s="152"/>
    </row>
    <row r="27" spans="2:12" x14ac:dyDescent="0.25">
      <c r="B27" s="151" t="s">
        <v>201</v>
      </c>
      <c r="C27" s="79">
        <v>7612</v>
      </c>
      <c r="D27" s="79">
        <v>9608</v>
      </c>
      <c r="E27" s="79">
        <v>11237</v>
      </c>
      <c r="F27" s="79">
        <v>11679</v>
      </c>
      <c r="G27" s="79"/>
      <c r="H27" s="79"/>
      <c r="I27" s="79"/>
      <c r="J27" s="79"/>
      <c r="K27" s="79"/>
      <c r="L27" s="152"/>
    </row>
    <row r="28" spans="2:12" x14ac:dyDescent="0.25">
      <c r="B28" s="151" t="s">
        <v>202</v>
      </c>
      <c r="C28" s="79">
        <v>2629</v>
      </c>
      <c r="D28" s="79">
        <v>2703</v>
      </c>
      <c r="E28" s="79">
        <v>2994</v>
      </c>
      <c r="F28" s="79">
        <v>3176</v>
      </c>
      <c r="G28" s="79"/>
      <c r="H28" s="79"/>
      <c r="I28" s="79"/>
      <c r="J28" s="79"/>
      <c r="K28" s="79"/>
      <c r="L28" s="152"/>
    </row>
    <row r="29" spans="2:12" x14ac:dyDescent="0.25">
      <c r="B29" s="151" t="s">
        <v>203</v>
      </c>
      <c r="C29" s="79">
        <v>869</v>
      </c>
      <c r="D29" s="79">
        <v>961</v>
      </c>
      <c r="E29" s="79">
        <v>1057</v>
      </c>
      <c r="F29" s="79">
        <v>1180</v>
      </c>
      <c r="G29" s="79"/>
      <c r="H29" s="79"/>
      <c r="I29" s="79"/>
      <c r="J29" s="79"/>
      <c r="K29" s="79"/>
      <c r="L29" s="152"/>
    </row>
    <row r="30" spans="2:12" x14ac:dyDescent="0.25">
      <c r="B30" s="151" t="s">
        <v>204</v>
      </c>
      <c r="C30" s="79">
        <v>1362</v>
      </c>
      <c r="D30" s="79">
        <v>1498</v>
      </c>
      <c r="E30" s="79">
        <v>1624</v>
      </c>
      <c r="F30" s="79">
        <v>1711</v>
      </c>
      <c r="G30" s="79"/>
      <c r="H30" s="79"/>
      <c r="I30" s="79"/>
      <c r="J30" s="79"/>
      <c r="K30" s="79"/>
      <c r="L30" s="152"/>
    </row>
    <row r="31" spans="2:12" x14ac:dyDescent="0.25">
      <c r="B31" s="151" t="s">
        <v>205</v>
      </c>
      <c r="C31" s="79">
        <v>1100</v>
      </c>
      <c r="D31" s="79">
        <v>86</v>
      </c>
      <c r="E31" s="79">
        <v>90</v>
      </c>
      <c r="F31" s="79">
        <v>1699</v>
      </c>
      <c r="G31" s="79"/>
      <c r="H31" s="79"/>
      <c r="I31" s="79"/>
      <c r="J31" s="79"/>
      <c r="K31" s="79"/>
      <c r="L31" s="152"/>
    </row>
    <row r="32" spans="2:12" x14ac:dyDescent="0.25">
      <c r="B32" s="151" t="s">
        <v>206</v>
      </c>
      <c r="C32" s="79">
        <v>2003</v>
      </c>
      <c r="D32" s="79">
        <v>2639</v>
      </c>
      <c r="E32" s="79">
        <v>2924</v>
      </c>
      <c r="F32" s="79">
        <v>3792</v>
      </c>
      <c r="G32" s="79"/>
      <c r="H32" s="79"/>
      <c r="I32" s="79"/>
      <c r="J32" s="79"/>
      <c r="K32" s="79"/>
      <c r="L32" s="152"/>
    </row>
    <row r="33" spans="2:15" x14ac:dyDescent="0.25">
      <c r="B33" s="148" t="s">
        <v>207</v>
      </c>
      <c r="C33" s="153">
        <f>SUM(C27:C32)</f>
        <v>15575</v>
      </c>
      <c r="D33" s="153">
        <f>SUM(D27:D32)</f>
        <v>17495</v>
      </c>
      <c r="E33" s="153">
        <f>SUM(E27:E32)</f>
        <v>19926</v>
      </c>
      <c r="F33" s="153">
        <f>SUM(F27:F32)</f>
        <v>23237</v>
      </c>
      <c r="G33" s="153"/>
      <c r="H33" s="153"/>
      <c r="I33" s="153"/>
      <c r="J33" s="153"/>
      <c r="K33" s="153"/>
      <c r="L33" s="232"/>
    </row>
    <row r="34" spans="2:15" x14ac:dyDescent="0.25">
      <c r="B34" s="148"/>
      <c r="C34" s="153"/>
      <c r="D34" s="153"/>
      <c r="E34" s="153"/>
      <c r="F34" s="153"/>
      <c r="G34" s="153"/>
      <c r="H34" s="79"/>
      <c r="I34" s="79"/>
      <c r="J34" s="79"/>
      <c r="K34" s="79"/>
      <c r="L34" s="152"/>
    </row>
    <row r="35" spans="2:15" x14ac:dyDescent="0.25">
      <c r="B35" s="151" t="s">
        <v>725</v>
      </c>
      <c r="C35" s="79">
        <v>4061</v>
      </c>
      <c r="D35" s="79">
        <v>6573</v>
      </c>
      <c r="E35" s="79">
        <v>6487</v>
      </c>
      <c r="F35" s="79">
        <v>5124</v>
      </c>
      <c r="G35" s="79"/>
      <c r="H35" s="79"/>
      <c r="I35" s="79"/>
      <c r="J35" s="79"/>
      <c r="K35" s="79"/>
      <c r="L35" s="152"/>
    </row>
    <row r="36" spans="2:15" x14ac:dyDescent="0.25">
      <c r="B36" s="179" t="s">
        <v>724</v>
      </c>
      <c r="C36" s="76"/>
      <c r="D36" s="76"/>
      <c r="E36" s="76"/>
      <c r="F36" s="76"/>
      <c r="G36" s="76"/>
      <c r="H36" s="76"/>
      <c r="I36" s="76"/>
      <c r="J36" s="76"/>
      <c r="K36" s="76"/>
      <c r="L36" s="233"/>
    </row>
    <row r="37" spans="2:15" x14ac:dyDescent="0.25">
      <c r="B37" s="151" t="s">
        <v>222</v>
      </c>
      <c r="C37" s="79">
        <v>1195</v>
      </c>
      <c r="D37" s="79">
        <v>1200</v>
      </c>
      <c r="E37" s="79">
        <v>1314</v>
      </c>
      <c r="F37" s="79">
        <v>1455</v>
      </c>
      <c r="G37" s="79"/>
      <c r="H37" s="79"/>
      <c r="I37" s="79"/>
      <c r="J37" s="79"/>
      <c r="K37" s="79"/>
      <c r="L37" s="152"/>
      <c r="O37" s="18"/>
    </row>
    <row r="38" spans="2:15" x14ac:dyDescent="0.25">
      <c r="B38" s="148" t="s">
        <v>223</v>
      </c>
      <c r="C38" s="153">
        <f>C33+C35+C36+C37</f>
        <v>20831</v>
      </c>
      <c r="D38" s="153">
        <f>D33+D35+D36+D37</f>
        <v>25268</v>
      </c>
      <c r="E38" s="153">
        <f>E33+E35+E36+E37</f>
        <v>27727</v>
      </c>
      <c r="F38" s="153">
        <f>F33+F35+F36+F37</f>
        <v>29816</v>
      </c>
      <c r="G38" s="153"/>
      <c r="H38" s="153"/>
      <c r="I38" s="153"/>
      <c r="J38" s="153"/>
      <c r="K38" s="153"/>
      <c r="L38" s="232"/>
    </row>
    <row r="39" spans="2:15" x14ac:dyDescent="0.25">
      <c r="B39" s="159" t="s">
        <v>726</v>
      </c>
      <c r="C39" s="149">
        <v>2</v>
      </c>
      <c r="D39" s="149">
        <v>4</v>
      </c>
      <c r="E39" s="149">
        <v>4</v>
      </c>
      <c r="F39" s="149">
        <v>4</v>
      </c>
      <c r="G39" s="137">
        <v>4</v>
      </c>
      <c r="H39" s="79"/>
      <c r="I39" s="79"/>
      <c r="J39" s="79"/>
      <c r="K39" s="79"/>
      <c r="L39" s="152"/>
    </row>
    <row r="40" spans="2:15" x14ac:dyDescent="0.25">
      <c r="B40" s="151" t="s">
        <v>224</v>
      </c>
      <c r="C40" s="155">
        <v>5490</v>
      </c>
      <c r="D40" s="149">
        <v>5800</v>
      </c>
      <c r="E40" s="155">
        <v>6107</v>
      </c>
      <c r="F40" s="155">
        <v>6417</v>
      </c>
      <c r="G40" s="160">
        <v>6593</v>
      </c>
      <c r="H40" s="79"/>
      <c r="I40" s="79"/>
      <c r="J40" s="79"/>
      <c r="K40" s="79"/>
      <c r="L40" s="152"/>
    </row>
    <row r="41" spans="2:15" x14ac:dyDescent="0.25">
      <c r="B41" s="151" t="s">
        <v>225</v>
      </c>
      <c r="C41" s="155">
        <v>-1099</v>
      </c>
      <c r="D41" s="149">
        <v>-1014</v>
      </c>
      <c r="E41" s="155">
        <v>-1199</v>
      </c>
      <c r="F41" s="155">
        <v>-1436</v>
      </c>
      <c r="G41" s="160">
        <v>-1678</v>
      </c>
      <c r="H41" s="79"/>
      <c r="I41" s="79"/>
      <c r="J41" s="79"/>
      <c r="K41" s="79"/>
      <c r="L41" s="152"/>
    </row>
    <row r="42" spans="2:15" x14ac:dyDescent="0.25">
      <c r="B42" s="151" t="s">
        <v>226</v>
      </c>
      <c r="C42" s="155">
        <v>7686</v>
      </c>
      <c r="D42" s="149">
        <v>5988</v>
      </c>
      <c r="E42" s="155">
        <v>7887</v>
      </c>
      <c r="F42" s="155">
        <v>10258</v>
      </c>
      <c r="G42" s="160">
        <v>11883</v>
      </c>
      <c r="H42" s="79"/>
      <c r="I42" s="79"/>
      <c r="J42" s="79"/>
      <c r="K42" s="79"/>
      <c r="L42" s="152"/>
    </row>
    <row r="43" spans="2:15" x14ac:dyDescent="0.25">
      <c r="B43" s="148" t="s">
        <v>227</v>
      </c>
      <c r="C43" s="161">
        <f>SUM(C39:C42)</f>
        <v>12079</v>
      </c>
      <c r="D43" s="161">
        <f>SUM(D39:D42)</f>
        <v>10778</v>
      </c>
      <c r="E43" s="161">
        <f>SUM(E39:E42)</f>
        <v>12799</v>
      </c>
      <c r="F43" s="161">
        <f>SUM(F39:F42)</f>
        <v>15243</v>
      </c>
      <c r="G43" s="162">
        <f>SUM(G39:G42)</f>
        <v>16802</v>
      </c>
      <c r="H43" s="79"/>
      <c r="I43" s="79"/>
      <c r="J43" s="79"/>
      <c r="K43" s="79"/>
      <c r="L43" s="152"/>
    </row>
    <row r="44" spans="2:15" x14ac:dyDescent="0.25">
      <c r="B44" s="151" t="s">
        <v>228</v>
      </c>
      <c r="C44" s="155">
        <v>253</v>
      </c>
      <c r="D44" s="149">
        <v>301</v>
      </c>
      <c r="E44" s="155">
        <v>304</v>
      </c>
      <c r="F44" s="155">
        <v>341</v>
      </c>
      <c r="G44" s="160">
        <v>401</v>
      </c>
      <c r="H44" s="79"/>
      <c r="I44" s="79"/>
      <c r="J44" s="79"/>
      <c r="K44" s="79"/>
      <c r="L44" s="152"/>
    </row>
    <row r="45" spans="2:15" x14ac:dyDescent="0.25">
      <c r="B45" s="148" t="s">
        <v>229</v>
      </c>
      <c r="C45" s="161">
        <f>C43+C44</f>
        <v>12332</v>
      </c>
      <c r="D45" s="161">
        <f>D43+D44</f>
        <v>11079</v>
      </c>
      <c r="E45" s="161">
        <f>E43+E44</f>
        <v>13103</v>
      </c>
      <c r="F45" s="161">
        <f>F43+F44</f>
        <v>15584</v>
      </c>
      <c r="G45" s="161"/>
      <c r="H45" s="161"/>
      <c r="I45" s="161"/>
      <c r="J45" s="161"/>
      <c r="K45" s="161"/>
      <c r="L45" s="234"/>
    </row>
    <row r="46" spans="2:15" x14ac:dyDescent="0.25">
      <c r="B46" s="151"/>
      <c r="C46" s="149"/>
      <c r="D46" s="149"/>
      <c r="E46" s="149"/>
      <c r="F46" s="155"/>
      <c r="G46" s="162">
        <f>G43+G44</f>
        <v>17203</v>
      </c>
      <c r="H46" s="79"/>
      <c r="I46" s="79"/>
      <c r="J46" s="79"/>
      <c r="K46" s="79"/>
      <c r="L46" s="152"/>
    </row>
    <row r="47" spans="2:15" ht="12" thickBot="1" x14ac:dyDescent="0.3">
      <c r="B47" s="156" t="s">
        <v>230</v>
      </c>
      <c r="C47" s="163">
        <f>C38+C45</f>
        <v>33163</v>
      </c>
      <c r="D47" s="163">
        <f>D38+D45</f>
        <v>36347</v>
      </c>
      <c r="E47" s="163">
        <f>E38+E45</f>
        <v>40830</v>
      </c>
      <c r="F47" s="163">
        <f>F38+F45</f>
        <v>45400</v>
      </c>
      <c r="G47" s="163"/>
      <c r="H47" s="163"/>
      <c r="I47" s="163"/>
      <c r="J47" s="163"/>
      <c r="K47" s="163"/>
      <c r="L47" s="164"/>
    </row>
    <row r="48" spans="2:15" x14ac:dyDescent="0.25">
      <c r="H48" s="18"/>
      <c r="I48" s="18"/>
      <c r="J48" s="18"/>
      <c r="K48" s="18"/>
      <c r="L48" s="18"/>
    </row>
    <row r="49" spans="2:12" x14ac:dyDescent="0.25">
      <c r="B49" s="21" t="s">
        <v>850</v>
      </c>
      <c r="C49" s="18">
        <f t="shared" ref="C49:L49" si="0">C47-C23</f>
        <v>0</v>
      </c>
      <c r="D49" s="18">
        <f t="shared" si="0"/>
        <v>0</v>
      </c>
      <c r="E49" s="18">
        <f t="shared" si="0"/>
        <v>0</v>
      </c>
      <c r="F49" s="18">
        <f t="shared" si="0"/>
        <v>0</v>
      </c>
      <c r="G49" s="18">
        <f>G47-G23</f>
        <v>0</v>
      </c>
      <c r="H49" s="18">
        <f t="shared" si="0"/>
        <v>0</v>
      </c>
      <c r="I49" s="18">
        <f t="shared" si="0"/>
        <v>0</v>
      </c>
      <c r="J49" s="18">
        <f t="shared" si="0"/>
        <v>0</v>
      </c>
      <c r="K49" s="18">
        <f t="shared" si="0"/>
        <v>0</v>
      </c>
      <c r="L49" s="18">
        <f t="shared" si="0"/>
        <v>0</v>
      </c>
    </row>
    <row r="50" spans="2:12" x14ac:dyDescent="0.25">
      <c r="H50" s="18"/>
      <c r="I50" s="18"/>
      <c r="J50" s="18"/>
      <c r="K50" s="18"/>
      <c r="L50" s="18"/>
    </row>
    <row r="51" spans="2:12" x14ac:dyDescent="0.25">
      <c r="G51" s="26"/>
      <c r="H51" s="18"/>
      <c r="I51" s="18"/>
      <c r="J51" s="18"/>
      <c r="K51" s="18"/>
      <c r="L51" s="18"/>
    </row>
    <row r="52" spans="2:12" x14ac:dyDescent="0.25">
      <c r="H52" s="18"/>
      <c r="I52" s="18"/>
      <c r="J52" s="18"/>
      <c r="K52" s="18"/>
      <c r="L52" s="18"/>
    </row>
  </sheetData>
  <conditionalFormatting sqref="G49">
    <cfRule type="cellIs" dxfId="2" priority="3" stopIfTrue="1" operator="notEqual">
      <formula>0</formula>
    </cfRule>
  </conditionalFormatting>
  <conditionalFormatting sqref="H49:L49">
    <cfRule type="cellIs" dxfId="1" priority="2" stopIfTrue="1" operator="notEqual">
      <formula>0</formula>
    </cfRule>
  </conditionalFormatting>
  <conditionalFormatting sqref="C49:F49">
    <cfRule type="cellIs" dxfId="0" priority="1" stopIfTrue="1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8" tint="0.39997558519241921"/>
  </sheetPr>
  <dimension ref="B1:N37"/>
  <sheetViews>
    <sheetView showGridLines="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N26" sqref="N26"/>
    </sheetView>
  </sheetViews>
  <sheetFormatPr defaultRowHeight="11.5" x14ac:dyDescent="0.25"/>
  <cols>
    <col min="1" max="1" width="2.796875" customWidth="1"/>
    <col min="2" max="2" width="40.69921875" customWidth="1"/>
    <col min="3" max="12" width="11.296875" customWidth="1"/>
    <col min="14" max="14" width="16.5" customWidth="1"/>
  </cols>
  <sheetData>
    <row r="1" spans="2:14" x14ac:dyDescent="0.25">
      <c r="G1" t="s">
        <v>767</v>
      </c>
    </row>
    <row r="2" spans="2:14" ht="14.5" x14ac:dyDescent="0.35">
      <c r="C2" s="165">
        <v>2016</v>
      </c>
      <c r="D2" s="165">
        <v>2017</v>
      </c>
      <c r="E2" s="165">
        <v>2018</v>
      </c>
      <c r="F2" s="165">
        <v>2019</v>
      </c>
      <c r="G2" s="50">
        <v>2020</v>
      </c>
      <c r="H2" s="49">
        <v>2021</v>
      </c>
      <c r="I2" s="49">
        <v>2022</v>
      </c>
      <c r="J2" s="49">
        <v>2023</v>
      </c>
      <c r="K2" s="49">
        <v>2024</v>
      </c>
      <c r="L2" s="49">
        <v>2025</v>
      </c>
      <c r="N2" s="141" t="s">
        <v>741</v>
      </c>
    </row>
    <row r="3" spans="2:14" x14ac:dyDescent="0.25">
      <c r="B3" s="23" t="s">
        <v>235</v>
      </c>
      <c r="C3" s="42">
        <f>'Revenue, Cost, WC'!C58</f>
        <v>2.1686933622492521E-2</v>
      </c>
      <c r="D3" s="42">
        <f>(D4/C4)-1</f>
        <v>8.7005591308917607E-2</v>
      </c>
      <c r="E3" s="42">
        <f>(E4/D4)-1</f>
        <v>9.7184795358716602E-2</v>
      </c>
      <c r="F3" s="42">
        <f>(F4/E4)-1</f>
        <v>7.8860684513919921E-2</v>
      </c>
      <c r="G3" s="42"/>
      <c r="H3" s="42"/>
      <c r="I3" s="42"/>
      <c r="J3" s="42"/>
      <c r="K3" s="42"/>
      <c r="L3" s="42"/>
      <c r="N3" s="141"/>
    </row>
    <row r="4" spans="2:14" x14ac:dyDescent="0.25">
      <c r="B4" s="20" t="s">
        <v>236</v>
      </c>
      <c r="C4" s="32">
        <f>'Revenue, Cost, WC'!C52</f>
        <v>116073</v>
      </c>
      <c r="D4" s="32">
        <v>126172</v>
      </c>
      <c r="E4" s="32">
        <v>138434</v>
      </c>
      <c r="F4" s="32">
        <v>149351</v>
      </c>
      <c r="G4" s="32"/>
      <c r="H4" s="32"/>
      <c r="I4" s="32"/>
      <c r="J4" s="32"/>
      <c r="K4" s="32"/>
      <c r="L4" s="32"/>
      <c r="N4" s="166">
        <v>110943</v>
      </c>
    </row>
    <row r="5" spans="2:14" x14ac:dyDescent="0.25">
      <c r="B5" s="20" t="s">
        <v>237</v>
      </c>
      <c r="C5" s="32">
        <f>118719-C4</f>
        <v>2646</v>
      </c>
      <c r="D5" s="32">
        <v>2853</v>
      </c>
      <c r="E5" s="32">
        <v>3142</v>
      </c>
      <c r="F5" s="32">
        <v>3352</v>
      </c>
      <c r="G5" s="32"/>
      <c r="H5" s="32"/>
      <c r="I5" s="32"/>
      <c r="J5" s="32"/>
      <c r="K5" s="32"/>
      <c r="L5" s="32"/>
      <c r="N5" s="166">
        <v>2435</v>
      </c>
    </row>
    <row r="6" spans="2:14" x14ac:dyDescent="0.25">
      <c r="B6" s="23" t="s">
        <v>238</v>
      </c>
      <c r="C6" s="33">
        <f>C4+C5</f>
        <v>118719</v>
      </c>
      <c r="D6" s="33">
        <f>D4+D5</f>
        <v>129025</v>
      </c>
      <c r="E6" s="33">
        <f>E4+E5</f>
        <v>141576</v>
      </c>
      <c r="F6" s="33">
        <f>F4+F5</f>
        <v>152703</v>
      </c>
      <c r="G6" s="33"/>
      <c r="H6" s="33"/>
      <c r="I6" s="33"/>
      <c r="J6" s="33"/>
      <c r="K6" s="33"/>
      <c r="L6" s="33"/>
      <c r="N6" s="166">
        <f>N4+N5</f>
        <v>113378</v>
      </c>
    </row>
    <row r="7" spans="2:14" x14ac:dyDescent="0.25">
      <c r="B7" s="23" t="s">
        <v>239</v>
      </c>
      <c r="C7" s="259" t="s">
        <v>3</v>
      </c>
      <c r="D7" s="260"/>
      <c r="E7" s="260"/>
      <c r="F7" s="260"/>
      <c r="G7" s="260"/>
      <c r="H7" s="260"/>
      <c r="I7" s="260"/>
      <c r="J7" s="260"/>
      <c r="K7" s="260"/>
      <c r="L7" s="261"/>
      <c r="N7" s="166"/>
    </row>
    <row r="8" spans="2:14" x14ac:dyDescent="0.25">
      <c r="B8" s="20" t="s">
        <v>240</v>
      </c>
      <c r="C8" s="32">
        <v>102901</v>
      </c>
      <c r="D8" s="32">
        <v>111882</v>
      </c>
      <c r="E8" s="32">
        <v>123152</v>
      </c>
      <c r="F8" s="32">
        <v>132886</v>
      </c>
      <c r="G8" s="32"/>
      <c r="H8" s="32"/>
      <c r="I8" s="32"/>
      <c r="J8" s="32"/>
      <c r="K8" s="32"/>
      <c r="L8" s="32"/>
      <c r="N8" s="166">
        <v>98538</v>
      </c>
    </row>
    <row r="9" spans="2:14" x14ac:dyDescent="0.25">
      <c r="B9" s="20" t="s">
        <v>243</v>
      </c>
      <c r="C9" s="32">
        <f>'Revenue, Cost, WC'!C65</f>
        <v>10562.643</v>
      </c>
      <c r="D9" s="32">
        <v>11580</v>
      </c>
      <c r="E9" s="32">
        <v>12439</v>
      </c>
      <c r="F9" s="32">
        <v>13502</v>
      </c>
      <c r="G9" s="32"/>
      <c r="H9" s="32"/>
      <c r="I9" s="32"/>
      <c r="J9" s="32"/>
      <c r="K9" s="32"/>
      <c r="L9" s="32"/>
      <c r="N9" s="166">
        <v>11305</v>
      </c>
    </row>
    <row r="10" spans="2:14" x14ac:dyDescent="0.25">
      <c r="B10" s="20" t="s">
        <v>728</v>
      </c>
      <c r="C10" s="32">
        <f>'Revenue, Cost, WC'!C68</f>
        <v>1509.357</v>
      </c>
      <c r="D10" s="32">
        <v>1370</v>
      </c>
      <c r="E10" s="32">
        <v>1437</v>
      </c>
      <c r="F10" s="32">
        <v>1492</v>
      </c>
      <c r="G10" s="32"/>
      <c r="H10" s="32"/>
      <c r="I10" s="32"/>
      <c r="J10" s="32"/>
      <c r="K10" s="32"/>
      <c r="L10" s="32"/>
      <c r="N10" s="166"/>
    </row>
    <row r="11" spans="2:14" x14ac:dyDescent="0.25">
      <c r="B11" s="20" t="s">
        <v>245</v>
      </c>
      <c r="C11" s="32">
        <v>78</v>
      </c>
      <c r="D11" s="32">
        <v>82</v>
      </c>
      <c r="E11" s="32">
        <v>68</v>
      </c>
      <c r="F11" s="32">
        <v>86</v>
      </c>
      <c r="G11" s="32"/>
      <c r="H11" s="32"/>
      <c r="I11" s="32"/>
      <c r="J11" s="32"/>
      <c r="K11" s="32"/>
      <c r="L11" s="32"/>
      <c r="N11" s="166">
        <v>29</v>
      </c>
    </row>
    <row r="12" spans="2:14" x14ac:dyDescent="0.25">
      <c r="B12" s="43" t="s">
        <v>887</v>
      </c>
      <c r="C12" s="33"/>
      <c r="D12" s="33"/>
      <c r="E12" s="33"/>
      <c r="F12" s="33"/>
      <c r="G12" s="41"/>
      <c r="H12" s="41"/>
      <c r="I12" s="41"/>
      <c r="J12" s="41"/>
      <c r="K12" s="41"/>
      <c r="L12" s="41"/>
      <c r="N12" s="166"/>
    </row>
    <row r="13" spans="2:14" x14ac:dyDescent="0.25">
      <c r="B13" s="23" t="s">
        <v>246</v>
      </c>
      <c r="C13" s="33">
        <f>C6-C8-C9-C11</f>
        <v>5177.357</v>
      </c>
      <c r="D13" s="33">
        <f>D6-D8-D9-D11</f>
        <v>5481</v>
      </c>
      <c r="E13" s="33">
        <f>E6-E8-E9-E11</f>
        <v>5917</v>
      </c>
      <c r="F13" s="33">
        <f>F6-F8-F9-F10-F11+F12</f>
        <v>4737</v>
      </c>
      <c r="G13" s="33"/>
      <c r="H13" s="33"/>
      <c r="I13" s="33"/>
      <c r="J13" s="33"/>
      <c r="K13" s="33"/>
      <c r="L13" s="33"/>
      <c r="N13" s="166">
        <f>N6-N8-N9-N11</f>
        <v>3506</v>
      </c>
    </row>
    <row r="14" spans="2:14" x14ac:dyDescent="0.25">
      <c r="B14" s="23" t="s">
        <v>248</v>
      </c>
      <c r="C14" s="259" t="s">
        <v>3</v>
      </c>
      <c r="D14" s="260"/>
      <c r="E14" s="260"/>
      <c r="F14" s="260"/>
      <c r="G14" s="260"/>
      <c r="H14" s="260"/>
      <c r="I14" s="260"/>
      <c r="J14" s="260"/>
      <c r="K14" s="260"/>
      <c r="L14" s="261"/>
      <c r="N14" s="166"/>
    </row>
    <row r="15" spans="2:14" x14ac:dyDescent="0.25">
      <c r="B15" s="20" t="s">
        <v>249</v>
      </c>
      <c r="C15" s="32">
        <v>-133</v>
      </c>
      <c r="D15" s="32">
        <v>-134</v>
      </c>
      <c r="E15" s="32">
        <v>-159</v>
      </c>
      <c r="F15" s="32">
        <v>-150</v>
      </c>
      <c r="G15" s="32"/>
      <c r="H15" s="32"/>
      <c r="I15" s="32"/>
      <c r="J15" s="32"/>
      <c r="K15" s="32"/>
      <c r="L15" s="32"/>
      <c r="N15" s="166">
        <v>-109</v>
      </c>
    </row>
    <row r="16" spans="2:14" x14ac:dyDescent="0.25">
      <c r="B16" s="20" t="s">
        <v>250</v>
      </c>
      <c r="C16" s="32">
        <v>80</v>
      </c>
      <c r="D16" s="32">
        <v>62</v>
      </c>
      <c r="E16" s="32">
        <v>121</v>
      </c>
      <c r="F16" s="32">
        <v>178</v>
      </c>
      <c r="G16" s="32"/>
      <c r="H16" s="32"/>
      <c r="I16" s="32"/>
      <c r="J16" s="32"/>
      <c r="K16" s="32"/>
      <c r="L16" s="32"/>
      <c r="N16" s="166">
        <v>101</v>
      </c>
    </row>
    <row r="17" spans="2:14" x14ac:dyDescent="0.25">
      <c r="B17" s="23" t="s">
        <v>251</v>
      </c>
      <c r="C17" s="33">
        <f>C13+C15+C16</f>
        <v>5124.357</v>
      </c>
      <c r="D17" s="33">
        <f>D13+D15+D16</f>
        <v>5409</v>
      </c>
      <c r="E17" s="33">
        <f>E13+E15+E16</f>
        <v>5879</v>
      </c>
      <c r="F17" s="33">
        <f>F13+F15+F16</f>
        <v>4765</v>
      </c>
      <c r="G17" s="33"/>
      <c r="H17" s="33"/>
      <c r="I17" s="33"/>
      <c r="J17" s="33"/>
      <c r="K17" s="33"/>
      <c r="L17" s="33"/>
      <c r="N17" s="166">
        <f>N13+N15+N16</f>
        <v>3498</v>
      </c>
    </row>
    <row r="18" spans="2:14" x14ac:dyDescent="0.25">
      <c r="B18" s="20" t="s">
        <v>252</v>
      </c>
      <c r="C18" s="32">
        <v>1243</v>
      </c>
      <c r="D18" s="32">
        <v>1325</v>
      </c>
      <c r="E18" s="32">
        <v>1263</v>
      </c>
      <c r="F18" s="32">
        <v>1061</v>
      </c>
      <c r="G18" s="32"/>
      <c r="H18" s="32"/>
      <c r="I18" s="32"/>
      <c r="J18" s="32"/>
      <c r="K18" s="32"/>
      <c r="L18" s="32"/>
      <c r="N18" s="166">
        <v>843</v>
      </c>
    </row>
    <row r="19" spans="2:14" x14ac:dyDescent="0.25">
      <c r="B19" s="20" t="s">
        <v>253</v>
      </c>
      <c r="C19" s="32">
        <f>C17-C18</f>
        <v>3881.357</v>
      </c>
      <c r="D19" s="32">
        <f>D17-D18</f>
        <v>4084</v>
      </c>
      <c r="E19" s="32">
        <f>E17-E18</f>
        <v>4616</v>
      </c>
      <c r="F19" s="32">
        <f>F17-F18</f>
        <v>3704</v>
      </c>
      <c r="G19" s="32"/>
      <c r="H19" s="32"/>
      <c r="I19" s="32"/>
      <c r="J19" s="32"/>
      <c r="K19" s="32"/>
      <c r="L19" s="32"/>
      <c r="N19" s="166">
        <f>N17-N18</f>
        <v>2655</v>
      </c>
    </row>
    <row r="20" spans="2:14" x14ac:dyDescent="0.25">
      <c r="B20" s="20" t="s">
        <v>738</v>
      </c>
      <c r="C20" s="32">
        <v>-26</v>
      </c>
      <c r="D20" s="32">
        <v>-35</v>
      </c>
      <c r="E20" s="32">
        <v>-45</v>
      </c>
      <c r="F20" s="32">
        <v>-45</v>
      </c>
      <c r="G20" s="32"/>
      <c r="H20" s="32"/>
      <c r="I20" s="32"/>
      <c r="J20" s="32"/>
      <c r="K20" s="32"/>
      <c r="L20" s="32"/>
      <c r="N20" s="166">
        <v>-42</v>
      </c>
    </row>
    <row r="21" spans="2:14" x14ac:dyDescent="0.25">
      <c r="B21" s="23" t="s">
        <v>809</v>
      </c>
      <c r="C21" s="33">
        <f>C19+C20</f>
        <v>3855.357</v>
      </c>
      <c r="D21" s="33">
        <f>D19+D20</f>
        <v>4049</v>
      </c>
      <c r="E21" s="33">
        <f>E19+E20</f>
        <v>4571</v>
      </c>
      <c r="F21" s="33">
        <f>F19+F20</f>
        <v>3659</v>
      </c>
      <c r="G21" s="33"/>
      <c r="H21" s="33"/>
      <c r="I21" s="33"/>
      <c r="J21" s="33"/>
      <c r="K21" s="33"/>
      <c r="L21" s="33"/>
      <c r="N21" s="166">
        <f>N19+N20</f>
        <v>2613</v>
      </c>
    </row>
    <row r="23" spans="2:14" x14ac:dyDescent="0.25">
      <c r="B23" s="87" t="s">
        <v>834</v>
      </c>
      <c r="C23" s="13">
        <f>C13/C6</f>
        <v>4.3610180341815546E-2</v>
      </c>
      <c r="D23" s="13">
        <f>D13/D6</f>
        <v>4.248013950784732E-2</v>
      </c>
      <c r="E23" s="13">
        <f>E13/E6</f>
        <v>4.1793806859919763E-2</v>
      </c>
      <c r="F23" s="13">
        <f>F13/F6</f>
        <v>3.1021001552032378E-2</v>
      </c>
      <c r="G23" s="13"/>
      <c r="H23" s="13"/>
      <c r="I23" s="13"/>
      <c r="J23" s="13"/>
      <c r="K23" s="13"/>
      <c r="L23" s="13"/>
    </row>
    <row r="24" spans="2:14" x14ac:dyDescent="0.25">
      <c r="B24" s="36" t="s">
        <v>760</v>
      </c>
      <c r="D24" s="25"/>
      <c r="E24" s="25"/>
      <c r="F24" s="25"/>
      <c r="G24" s="35"/>
      <c r="H24" s="35"/>
      <c r="I24" s="35"/>
      <c r="J24" s="35"/>
      <c r="K24" s="35"/>
      <c r="L24" s="35"/>
    </row>
    <row r="25" spans="2:14" x14ac:dyDescent="0.25">
      <c r="B25" s="36" t="s">
        <v>761</v>
      </c>
      <c r="D25" s="25"/>
      <c r="E25" s="25"/>
      <c r="F25" s="25"/>
      <c r="G25" s="25"/>
      <c r="H25" s="25"/>
      <c r="I25" s="25"/>
      <c r="J25" s="25"/>
      <c r="K25" s="25"/>
      <c r="L25" s="25"/>
    </row>
    <row r="26" spans="2:14" x14ac:dyDescent="0.25">
      <c r="B26" s="58" t="s">
        <v>762</v>
      </c>
      <c r="C26" s="28">
        <f>C5/C21</f>
        <v>0.686317765125253</v>
      </c>
      <c r="D26" s="28">
        <f>D5/D21</f>
        <v>0.70461842430229682</v>
      </c>
      <c r="E26" s="28">
        <f>E5/E21</f>
        <v>0.68737694158827389</v>
      </c>
      <c r="F26" s="28">
        <f>F5/F21</f>
        <v>0.91609729434271658</v>
      </c>
      <c r="G26" s="28"/>
      <c r="H26" s="28"/>
      <c r="I26" s="28"/>
      <c r="J26" s="28"/>
      <c r="K26" s="28"/>
      <c r="L26" s="28"/>
      <c r="N26" s="28">
        <f>N5/N21</f>
        <v>0.93187906620742444</v>
      </c>
    </row>
    <row r="27" spans="2:14" x14ac:dyDescent="0.25">
      <c r="B27" s="36"/>
      <c r="D27" s="25"/>
      <c r="E27" s="25"/>
      <c r="F27" s="25"/>
      <c r="G27" s="25"/>
      <c r="H27" s="25"/>
      <c r="I27" s="25"/>
    </row>
    <row r="28" spans="2:14" x14ac:dyDescent="0.25">
      <c r="I28" s="25"/>
    </row>
    <row r="29" spans="2:14" hidden="1" x14ac:dyDescent="0.25">
      <c r="B29" s="58" t="s">
        <v>841</v>
      </c>
      <c r="C29" s="13">
        <f>C5/C6</f>
        <v>2.2287923584261998E-2</v>
      </c>
      <c r="D29" s="13">
        <f>D5/D6</f>
        <v>2.2111993799651231E-2</v>
      </c>
      <c r="E29" s="13">
        <f>E5/E6</f>
        <v>2.2193027066734476E-2</v>
      </c>
      <c r="F29" s="13">
        <f>F5/F6</f>
        <v>2.1951107705808007E-2</v>
      </c>
      <c r="G29" s="13"/>
      <c r="H29" s="13"/>
      <c r="I29" s="25"/>
      <c r="J29" s="13"/>
      <c r="K29" s="13"/>
      <c r="L29" s="13"/>
    </row>
    <row r="30" spans="2:14" hidden="1" x14ac:dyDescent="0.25">
      <c r="B30" s="21" t="s">
        <v>842</v>
      </c>
      <c r="C30" s="13">
        <f>C21/C6</f>
        <v>3.247464180122811E-2</v>
      </c>
      <c r="D30" s="13">
        <f>D21/D6</f>
        <v>3.1381515210230575E-2</v>
      </c>
      <c r="E30" s="13">
        <f>E21/E6</f>
        <v>3.2286545742216198E-2</v>
      </c>
      <c r="F30" s="13">
        <f>F21/F6</f>
        <v>2.3961546269555937E-2</v>
      </c>
      <c r="G30" s="13"/>
      <c r="H30" s="13"/>
      <c r="I30" s="25"/>
      <c r="J30" s="13"/>
      <c r="K30" s="13"/>
      <c r="L30" s="13"/>
    </row>
    <row r="31" spans="2:14" hidden="1" x14ac:dyDescent="0.25">
      <c r="G31" s="27"/>
      <c r="I31" s="25"/>
    </row>
    <row r="32" spans="2:14" hidden="1" x14ac:dyDescent="0.25">
      <c r="C32" s="25"/>
      <c r="D32" s="25"/>
      <c r="E32" s="25"/>
      <c r="F32" s="25">
        <f>0.3*F21</f>
        <v>1097.7</v>
      </c>
      <c r="I32" s="25"/>
    </row>
    <row r="33" spans="3:9" hidden="1" x14ac:dyDescent="0.25">
      <c r="C33" s="13"/>
      <c r="D33" s="13"/>
      <c r="E33" s="13"/>
      <c r="F33" s="16">
        <f>F32/'Cash Flow - FCFE'!B27</f>
        <v>2.4861840913208915</v>
      </c>
      <c r="I33" s="25"/>
    </row>
    <row r="34" spans="3:9" x14ac:dyDescent="0.25">
      <c r="G34" s="25"/>
      <c r="H34" s="25"/>
      <c r="I34" s="25"/>
    </row>
    <row r="35" spans="3:9" x14ac:dyDescent="0.25">
      <c r="I35" s="25"/>
    </row>
    <row r="36" spans="3:9" x14ac:dyDescent="0.25">
      <c r="C36" s="25"/>
      <c r="D36" s="25"/>
      <c r="E36" s="25"/>
      <c r="F36" s="25"/>
      <c r="G36" s="25"/>
      <c r="I36" s="25"/>
    </row>
    <row r="37" spans="3:9" x14ac:dyDescent="0.25">
      <c r="C37" s="13"/>
      <c r="D37" s="13"/>
      <c r="E37" s="13"/>
      <c r="F37" s="13"/>
      <c r="G37" s="13"/>
    </row>
  </sheetData>
  <mergeCells count="2">
    <mergeCell ref="C7:L7"/>
    <mergeCell ref="C14:L14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8" tint="0.39997558519241921"/>
  </sheetPr>
  <dimension ref="A1:R28"/>
  <sheetViews>
    <sheetView showGridLines="0" workbookViewId="0">
      <selection activeCell="C19" sqref="C19:R22"/>
    </sheetView>
  </sheetViews>
  <sheetFormatPr defaultRowHeight="11.5" x14ac:dyDescent="0.25"/>
  <cols>
    <col min="1" max="1" width="37.8984375" customWidth="1"/>
    <col min="2" max="2" width="9.8984375" bestFit="1" customWidth="1"/>
    <col min="3" max="3" width="9.09765625" customWidth="1"/>
    <col min="7" max="7" width="9.5" customWidth="1"/>
    <col min="8" max="8" width="8.59765625" customWidth="1"/>
    <col min="13" max="13" width="8.796875" customWidth="1"/>
    <col min="18" max="18" width="9.09765625" customWidth="1"/>
  </cols>
  <sheetData>
    <row r="1" spans="1:18" x14ac:dyDescent="0.25">
      <c r="A1" s="95"/>
      <c r="B1" s="100" t="s">
        <v>767</v>
      </c>
      <c r="C1" s="100">
        <v>1</v>
      </c>
      <c r="D1" s="100">
        <v>2</v>
      </c>
      <c r="E1" s="100">
        <v>3</v>
      </c>
      <c r="F1" s="100">
        <v>4</v>
      </c>
      <c r="G1" s="100">
        <v>5</v>
      </c>
      <c r="H1" s="100">
        <v>6</v>
      </c>
      <c r="I1" s="100">
        <v>7</v>
      </c>
      <c r="J1" s="100">
        <v>8</v>
      </c>
      <c r="K1" s="100">
        <v>9</v>
      </c>
      <c r="L1" s="100">
        <v>10</v>
      </c>
      <c r="M1" s="100">
        <v>11</v>
      </c>
      <c r="N1" s="100">
        <v>12</v>
      </c>
      <c r="O1" s="100">
        <v>13</v>
      </c>
      <c r="P1" s="100">
        <v>14</v>
      </c>
      <c r="Q1" s="100">
        <v>15</v>
      </c>
      <c r="R1" s="95"/>
    </row>
    <row r="2" spans="1:18" ht="14.5" x14ac:dyDescent="0.35">
      <c r="A2" s="114" t="s">
        <v>831</v>
      </c>
      <c r="B2" s="96">
        <v>2020</v>
      </c>
      <c r="C2" s="97">
        <v>2021</v>
      </c>
      <c r="D2" s="97">
        <v>2022</v>
      </c>
      <c r="E2" s="97">
        <v>2023</v>
      </c>
      <c r="F2" s="97">
        <v>2024</v>
      </c>
      <c r="G2" s="97">
        <v>2025</v>
      </c>
      <c r="H2" s="98">
        <v>2026</v>
      </c>
      <c r="I2" s="98">
        <v>2027</v>
      </c>
      <c r="J2" s="98">
        <v>2028</v>
      </c>
      <c r="K2" s="98">
        <v>2029</v>
      </c>
      <c r="L2" s="98">
        <v>2030</v>
      </c>
      <c r="M2" s="99">
        <v>2031</v>
      </c>
      <c r="N2" s="99">
        <v>2032</v>
      </c>
      <c r="O2" s="99">
        <v>2033</v>
      </c>
      <c r="P2" s="99">
        <v>2034</v>
      </c>
      <c r="Q2" s="99">
        <v>2035</v>
      </c>
      <c r="R2" s="100" t="s">
        <v>792</v>
      </c>
    </row>
    <row r="3" spans="1:18" x14ac:dyDescent="0.25">
      <c r="A3" s="95" t="s">
        <v>750</v>
      </c>
      <c r="B3" s="101"/>
      <c r="C3" s="101"/>
      <c r="D3" s="101"/>
      <c r="E3" s="101"/>
      <c r="F3" s="101"/>
      <c r="G3" s="101"/>
      <c r="H3" s="262"/>
      <c r="I3" s="263"/>
      <c r="J3" s="263"/>
      <c r="K3" s="263"/>
      <c r="L3" s="263"/>
      <c r="M3" s="263"/>
      <c r="N3" s="263"/>
      <c r="O3" s="263"/>
      <c r="P3" s="263"/>
      <c r="Q3" s="263"/>
      <c r="R3" s="264"/>
    </row>
    <row r="4" spans="1:18" ht="12" x14ac:dyDescent="0.3">
      <c r="A4" s="102" t="s">
        <v>820</v>
      </c>
      <c r="B4" s="101"/>
      <c r="C4" s="101"/>
      <c r="D4" s="101"/>
      <c r="E4" s="101"/>
      <c r="F4" s="101"/>
      <c r="G4" s="101"/>
      <c r="H4" s="265"/>
      <c r="I4" s="266"/>
      <c r="J4" s="266"/>
      <c r="K4" s="266"/>
      <c r="L4" s="266"/>
      <c r="M4" s="266"/>
      <c r="N4" s="266"/>
      <c r="O4" s="266"/>
      <c r="P4" s="266"/>
      <c r="Q4" s="266"/>
      <c r="R4" s="267"/>
    </row>
    <row r="5" spans="1:18" x14ac:dyDescent="0.25">
      <c r="A5" s="95" t="s">
        <v>821</v>
      </c>
      <c r="B5" s="101"/>
      <c r="C5" s="101"/>
      <c r="D5" s="101"/>
      <c r="E5" s="101"/>
      <c r="F5" s="101"/>
      <c r="G5" s="101"/>
      <c r="H5" s="265"/>
      <c r="I5" s="266"/>
      <c r="J5" s="266"/>
      <c r="K5" s="266"/>
      <c r="L5" s="266"/>
      <c r="M5" s="266"/>
      <c r="N5" s="266"/>
      <c r="O5" s="266"/>
      <c r="P5" s="266"/>
      <c r="Q5" s="266"/>
      <c r="R5" s="267"/>
    </row>
    <row r="6" spans="1:18" ht="12" x14ac:dyDescent="0.3">
      <c r="A6" s="102" t="s">
        <v>819</v>
      </c>
      <c r="B6" s="101"/>
      <c r="C6" s="101"/>
      <c r="D6" s="101"/>
      <c r="E6" s="101"/>
      <c r="F6" s="101"/>
      <c r="G6" s="101"/>
      <c r="H6" s="265"/>
      <c r="I6" s="266"/>
      <c r="J6" s="266"/>
      <c r="K6" s="266"/>
      <c r="L6" s="266"/>
      <c r="M6" s="266"/>
      <c r="N6" s="266"/>
      <c r="O6" s="266"/>
      <c r="P6" s="266"/>
      <c r="Q6" s="266"/>
      <c r="R6" s="267"/>
    </row>
    <row r="7" spans="1:18" x14ac:dyDescent="0.25">
      <c r="A7" s="103" t="s">
        <v>822</v>
      </c>
      <c r="B7" s="101"/>
      <c r="C7" s="101"/>
      <c r="D7" s="101"/>
      <c r="E7" s="101"/>
      <c r="F7" s="101"/>
      <c r="G7" s="101"/>
      <c r="H7" s="268"/>
      <c r="I7" s="269"/>
      <c r="J7" s="269"/>
      <c r="K7" s="269"/>
      <c r="L7" s="269"/>
      <c r="M7" s="269"/>
      <c r="N7" s="269"/>
      <c r="O7" s="269"/>
      <c r="P7" s="269"/>
      <c r="Q7" s="269"/>
      <c r="R7" s="270"/>
    </row>
    <row r="8" spans="1:18" x14ac:dyDescent="0.25">
      <c r="A8" s="274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</row>
    <row r="9" spans="1:18" x14ac:dyDescent="0.25">
      <c r="A9" s="95" t="s">
        <v>810</v>
      </c>
      <c r="B9" s="104"/>
      <c r="C9" s="104"/>
      <c r="D9" s="104"/>
      <c r="E9" s="104"/>
      <c r="F9" s="104"/>
      <c r="G9" s="104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</row>
    <row r="10" spans="1:18" x14ac:dyDescent="0.25">
      <c r="A10" s="95" t="s">
        <v>823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95"/>
    </row>
    <row r="11" spans="1:18" x14ac:dyDescent="0.25">
      <c r="A11" s="95" t="s">
        <v>824</v>
      </c>
      <c r="B11" s="95"/>
      <c r="C11" s="95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9"/>
    </row>
    <row r="12" spans="1:18" x14ac:dyDescent="0.25">
      <c r="A12" s="60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60"/>
    </row>
    <row r="13" spans="1:18" x14ac:dyDescent="0.25">
      <c r="A13" s="95" t="s">
        <v>751</v>
      </c>
      <c r="B13" s="104"/>
      <c r="C13" s="104"/>
      <c r="D13" s="104"/>
      <c r="E13" s="104"/>
      <c r="F13" s="104"/>
      <c r="G13" s="104"/>
      <c r="H13" s="262"/>
      <c r="I13" s="263"/>
      <c r="J13" s="263"/>
      <c r="K13" s="263"/>
      <c r="L13" s="263"/>
      <c r="M13" s="263"/>
      <c r="N13" s="263"/>
      <c r="O13" s="263"/>
      <c r="P13" s="263"/>
      <c r="Q13" s="263"/>
      <c r="R13" s="264"/>
    </row>
    <row r="14" spans="1:18" x14ac:dyDescent="0.25">
      <c r="A14" s="95" t="s">
        <v>753</v>
      </c>
      <c r="B14" s="104"/>
      <c r="C14" s="104"/>
      <c r="D14" s="104"/>
      <c r="E14" s="104"/>
      <c r="F14" s="104"/>
      <c r="G14" s="104"/>
      <c r="H14" s="265"/>
      <c r="I14" s="266"/>
      <c r="J14" s="266"/>
      <c r="K14" s="266"/>
      <c r="L14" s="266"/>
      <c r="M14" s="266"/>
      <c r="N14" s="266"/>
      <c r="O14" s="266"/>
      <c r="P14" s="266"/>
      <c r="Q14" s="266"/>
      <c r="R14" s="267"/>
    </row>
    <row r="15" spans="1:18" x14ac:dyDescent="0.25">
      <c r="A15" s="95" t="s">
        <v>752</v>
      </c>
      <c r="B15" s="104"/>
      <c r="C15" s="104"/>
      <c r="D15" s="104"/>
      <c r="E15" s="104"/>
      <c r="F15" s="104"/>
      <c r="G15" s="104"/>
      <c r="H15" s="268"/>
      <c r="I15" s="269"/>
      <c r="J15" s="269"/>
      <c r="K15" s="269"/>
      <c r="L15" s="269"/>
      <c r="M15" s="269"/>
      <c r="N15" s="269"/>
      <c r="O15" s="269"/>
      <c r="P15" s="269"/>
      <c r="Q15" s="269"/>
      <c r="R15" s="270"/>
    </row>
    <row r="16" spans="1:18" x14ac:dyDescent="0.25">
      <c r="A16" s="263"/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</row>
    <row r="17" spans="1:18" x14ac:dyDescent="0.25">
      <c r="A17" s="95" t="s">
        <v>780</v>
      </c>
      <c r="B17" s="95">
        <v>0.7</v>
      </c>
      <c r="C17" s="265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</row>
    <row r="18" spans="1:18" x14ac:dyDescent="0.25">
      <c r="A18" s="95" t="s">
        <v>817</v>
      </c>
      <c r="B18" s="110">
        <v>5.6000000000000001E-2</v>
      </c>
      <c r="C18" s="276" t="s">
        <v>826</v>
      </c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</row>
    <row r="19" spans="1:18" x14ac:dyDescent="0.25">
      <c r="A19" s="95" t="s">
        <v>818</v>
      </c>
      <c r="B19" s="110">
        <v>0.87</v>
      </c>
      <c r="C19" s="265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</row>
    <row r="20" spans="1:18" x14ac:dyDescent="0.25">
      <c r="A20" s="95" t="s">
        <v>816</v>
      </c>
      <c r="B20" s="110">
        <v>7.3999999999999996E-2</v>
      </c>
      <c r="C20" s="265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</row>
    <row r="21" spans="1:18" x14ac:dyDescent="0.25">
      <c r="A21" s="95" t="s">
        <v>828</v>
      </c>
      <c r="B21" s="110">
        <v>0.13</v>
      </c>
      <c r="C21" s="265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</row>
    <row r="22" spans="1:18" x14ac:dyDescent="0.25">
      <c r="A22" s="95" t="s">
        <v>827</v>
      </c>
      <c r="B22" s="107">
        <f>B24 + (B17*((B18*B19)+(B20*B21)))</f>
        <v>4.0837999999999999E-2</v>
      </c>
      <c r="C22" s="265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</row>
    <row r="23" spans="1:18" x14ac:dyDescent="0.25">
      <c r="A23" s="275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</row>
    <row r="24" spans="1:18" x14ac:dyDescent="0.25">
      <c r="A24" s="95" t="s">
        <v>759</v>
      </c>
      <c r="B24" s="107"/>
      <c r="C24" s="271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3"/>
    </row>
    <row r="25" spans="1:18" x14ac:dyDescent="0.25">
      <c r="A25" s="95" t="s">
        <v>830</v>
      </c>
      <c r="B25" s="95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2"/>
    </row>
    <row r="26" spans="1:18" x14ac:dyDescent="0.25">
      <c r="A26" s="95" t="s">
        <v>829</v>
      </c>
      <c r="B26" s="111"/>
      <c r="C26" s="262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4"/>
    </row>
    <row r="27" spans="1:18" x14ac:dyDescent="0.25">
      <c r="A27" s="95" t="s">
        <v>747</v>
      </c>
      <c r="B27" s="113">
        <f>441520000/1000000</f>
        <v>441.52</v>
      </c>
      <c r="C27" s="265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7"/>
    </row>
    <row r="28" spans="1:18" x14ac:dyDescent="0.25">
      <c r="A28" s="100" t="s">
        <v>825</v>
      </c>
      <c r="B28" s="112"/>
      <c r="C28" s="268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70"/>
    </row>
  </sheetData>
  <mergeCells count="10">
    <mergeCell ref="H3:R7"/>
    <mergeCell ref="H13:R15"/>
    <mergeCell ref="C17:R17"/>
    <mergeCell ref="C19:R22"/>
    <mergeCell ref="C18:R18"/>
    <mergeCell ref="C26:R28"/>
    <mergeCell ref="C24:R24"/>
    <mergeCell ref="A8:R8"/>
    <mergeCell ref="A16:R16"/>
    <mergeCell ref="A23:R2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8" tint="0.39997558519241921"/>
  </sheetPr>
  <dimension ref="A1:R32"/>
  <sheetViews>
    <sheetView workbookViewId="0">
      <selection activeCell="A5" sqref="A5:IV5"/>
    </sheetView>
  </sheetViews>
  <sheetFormatPr defaultRowHeight="11.5" x14ac:dyDescent="0.25"/>
  <cols>
    <col min="1" max="1" width="30.09765625" customWidth="1"/>
    <col min="2" max="2" width="9.8984375" bestFit="1" customWidth="1"/>
    <col min="3" max="3" width="9.09765625" customWidth="1"/>
    <col min="7" max="7" width="9.5" customWidth="1"/>
    <col min="8" max="8" width="8.59765625" customWidth="1"/>
    <col min="13" max="13" width="8.796875" customWidth="1"/>
    <col min="18" max="18" width="11.09765625" customWidth="1"/>
  </cols>
  <sheetData>
    <row r="1" spans="1:18" x14ac:dyDescent="0.25">
      <c r="B1" t="s">
        <v>767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</row>
    <row r="2" spans="1:18" ht="14.5" x14ac:dyDescent="0.35">
      <c r="B2" s="50">
        <v>2020</v>
      </c>
      <c r="C2" s="49">
        <v>2021</v>
      </c>
      <c r="D2" s="49">
        <v>2022</v>
      </c>
      <c r="E2" s="49">
        <v>2023</v>
      </c>
      <c r="F2" s="49">
        <v>2024</v>
      </c>
      <c r="G2" s="49">
        <v>2025</v>
      </c>
      <c r="H2" s="51">
        <v>2026</v>
      </c>
      <c r="I2" s="51">
        <v>2027</v>
      </c>
      <c r="J2" s="51">
        <v>2028</v>
      </c>
      <c r="K2" s="51">
        <v>2029</v>
      </c>
      <c r="L2" s="51">
        <v>2030</v>
      </c>
      <c r="M2" s="52">
        <v>2031</v>
      </c>
      <c r="N2" s="52">
        <v>2032</v>
      </c>
      <c r="O2" s="52">
        <v>2033</v>
      </c>
      <c r="P2" s="52">
        <v>2034</v>
      </c>
      <c r="Q2" s="52">
        <v>2035</v>
      </c>
      <c r="R2" t="s">
        <v>792</v>
      </c>
    </row>
    <row r="4" spans="1:18" x14ac:dyDescent="0.25">
      <c r="A4" t="s">
        <v>750</v>
      </c>
      <c r="B4" s="32">
        <f>'Income Stmt'!G24</f>
        <v>0</v>
      </c>
      <c r="C4" s="32">
        <f>'Income Stmt'!H24</f>
        <v>0</v>
      </c>
      <c r="D4" s="32">
        <f>'Income Stmt'!I24</f>
        <v>0</v>
      </c>
      <c r="E4" s="32">
        <f>'Income Stmt'!J24</f>
        <v>0</v>
      </c>
      <c r="F4" s="32">
        <f>'Income Stmt'!K24</f>
        <v>0</v>
      </c>
      <c r="G4" s="32">
        <f>'Income Stmt'!L24</f>
        <v>0</v>
      </c>
    </row>
    <row r="5" spans="1:18" ht="12" x14ac:dyDescent="0.3">
      <c r="A5" s="94" t="s">
        <v>820</v>
      </c>
      <c r="B5" s="32">
        <f>CapEx!G13</f>
        <v>0</v>
      </c>
      <c r="C5" s="32">
        <f>CapEx!H13</f>
        <v>0</v>
      </c>
      <c r="D5" s="32">
        <f>CapEx!I13</f>
        <v>0</v>
      </c>
      <c r="E5" s="32">
        <f>CapEx!J13</f>
        <v>0</v>
      </c>
      <c r="F5" s="32">
        <f>CapEx!K13</f>
        <v>0</v>
      </c>
      <c r="G5" s="32">
        <f>CapEx!L13</f>
        <v>0</v>
      </c>
    </row>
    <row r="6" spans="1:18" x14ac:dyDescent="0.25">
      <c r="A6" t="s">
        <v>821</v>
      </c>
      <c r="B6" s="32">
        <f>CapEx!G16</f>
        <v>0</v>
      </c>
      <c r="C6" s="32">
        <f>CapEx!H16</f>
        <v>0</v>
      </c>
      <c r="D6" s="32">
        <f>CapEx!I16</f>
        <v>0</v>
      </c>
      <c r="E6" s="32">
        <f>CapEx!J16</f>
        <v>0</v>
      </c>
      <c r="F6" s="32">
        <f>CapEx!K16</f>
        <v>0</v>
      </c>
      <c r="G6" s="32">
        <f>CapEx!L16</f>
        <v>0</v>
      </c>
    </row>
    <row r="7" spans="1:18" ht="12" x14ac:dyDescent="0.3">
      <c r="A7" s="94" t="s">
        <v>819</v>
      </c>
      <c r="B7" s="32">
        <f>'Revenue, Cost, WC'!G111</f>
        <v>0</v>
      </c>
      <c r="C7" s="32">
        <f>'Revenue, Cost, WC'!H111</f>
        <v>0</v>
      </c>
      <c r="D7" s="32">
        <f>'Revenue, Cost, WC'!I111</f>
        <v>0</v>
      </c>
      <c r="E7" s="32">
        <f>'Revenue, Cost, WC'!J111</f>
        <v>0</v>
      </c>
      <c r="F7" s="32">
        <f>'Revenue, Cost, WC'!K111</f>
        <v>0</v>
      </c>
      <c r="G7" s="32">
        <f>'Revenue, Cost, WC'!L111</f>
        <v>0</v>
      </c>
    </row>
    <row r="8" spans="1:18" x14ac:dyDescent="0.25">
      <c r="B8" s="47"/>
      <c r="C8" s="47" t="e">
        <f>(C9/B9)-1</f>
        <v>#DIV/0!</v>
      </c>
      <c r="D8" s="47" t="e">
        <f t="shared" ref="D8:Q8" si="0">(D9/C9)-1</f>
        <v>#DIV/0!</v>
      </c>
      <c r="E8" s="47" t="e">
        <f t="shared" si="0"/>
        <v>#DIV/0!</v>
      </c>
      <c r="F8" s="47" t="e">
        <f t="shared" si="0"/>
        <v>#DIV/0!</v>
      </c>
      <c r="G8" s="47" t="e">
        <f t="shared" si="0"/>
        <v>#DIV/0!</v>
      </c>
      <c r="H8" s="47" t="e">
        <f t="shared" si="0"/>
        <v>#DIV/0!</v>
      </c>
      <c r="I8" s="47" t="e">
        <f t="shared" si="0"/>
        <v>#DIV/0!</v>
      </c>
      <c r="J8" s="47" t="e">
        <f t="shared" si="0"/>
        <v>#DIV/0!</v>
      </c>
      <c r="K8" s="47" t="e">
        <f t="shared" si="0"/>
        <v>#DIV/0!</v>
      </c>
      <c r="L8" s="47" t="e">
        <f t="shared" si="0"/>
        <v>#DIV/0!</v>
      </c>
      <c r="M8" s="47" t="e">
        <f t="shared" si="0"/>
        <v>#DIV/0!</v>
      </c>
      <c r="N8" s="47" t="e">
        <f t="shared" si="0"/>
        <v>#DIV/0!</v>
      </c>
      <c r="O8" s="47" t="e">
        <f t="shared" si="0"/>
        <v>#DIV/0!</v>
      </c>
      <c r="P8" s="47" t="e">
        <f t="shared" si="0"/>
        <v>#DIV/0!</v>
      </c>
      <c r="Q8" s="47" t="e">
        <f t="shared" si="0"/>
        <v>#DIV/0!</v>
      </c>
    </row>
    <row r="9" spans="1:18" x14ac:dyDescent="0.25">
      <c r="A9" t="s">
        <v>811</v>
      </c>
      <c r="B9" s="25">
        <f t="shared" ref="B9:G9" si="1">B4+B6-B7-B5</f>
        <v>0</v>
      </c>
      <c r="C9" s="31">
        <f t="shared" si="1"/>
        <v>0</v>
      </c>
      <c r="D9" s="31">
        <f t="shared" si="1"/>
        <v>0</v>
      </c>
      <c r="E9" s="31">
        <f t="shared" si="1"/>
        <v>0</v>
      </c>
      <c r="F9" s="31">
        <f t="shared" si="1"/>
        <v>0</v>
      </c>
      <c r="G9" s="31">
        <f t="shared" si="1"/>
        <v>0</v>
      </c>
      <c r="H9" s="31" t="e">
        <f t="shared" ref="H9:Q9" si="2">G9*(1+H14)</f>
        <v>#DIV/0!</v>
      </c>
      <c r="I9" s="31" t="e">
        <f t="shared" si="2"/>
        <v>#DIV/0!</v>
      </c>
      <c r="J9" s="31" t="e">
        <f t="shared" si="2"/>
        <v>#DIV/0!</v>
      </c>
      <c r="K9" s="31" t="e">
        <f t="shared" si="2"/>
        <v>#DIV/0!</v>
      </c>
      <c r="L9" s="31" t="e">
        <f t="shared" si="2"/>
        <v>#DIV/0!</v>
      </c>
      <c r="M9" s="31" t="e">
        <f t="shared" si="2"/>
        <v>#DIV/0!</v>
      </c>
      <c r="N9" s="31" t="e">
        <f t="shared" si="2"/>
        <v>#DIV/0!</v>
      </c>
      <c r="O9" s="31" t="e">
        <f t="shared" si="2"/>
        <v>#DIV/0!</v>
      </c>
      <c r="P9" s="31" t="e">
        <f t="shared" si="2"/>
        <v>#DIV/0!</v>
      </c>
      <c r="Q9" s="31" t="e">
        <f t="shared" si="2"/>
        <v>#DIV/0!</v>
      </c>
      <c r="R9" s="31" t="e">
        <f>Q9*(1+B18)/(B15-B18)</f>
        <v>#DIV/0!</v>
      </c>
    </row>
    <row r="10" spans="1:18" x14ac:dyDescent="0.25">
      <c r="A10" t="s">
        <v>751</v>
      </c>
      <c r="B10" s="25">
        <f>'Balance Sheet'!F5+'Balance Sheet'!F6</f>
        <v>9444</v>
      </c>
      <c r="C10" s="25">
        <f>'Balance Sheet'!G5</f>
        <v>0</v>
      </c>
      <c r="D10" s="25">
        <f>'Balance Sheet'!H5</f>
        <v>0</v>
      </c>
      <c r="E10" s="25">
        <f>'Balance Sheet'!I5</f>
        <v>0</v>
      </c>
      <c r="F10" s="25">
        <f>'Balance Sheet'!J5</f>
        <v>0</v>
      </c>
      <c r="G10" s="25">
        <f>'Balance Sheet'!K5</f>
        <v>0</v>
      </c>
    </row>
    <row r="11" spans="1:18" x14ac:dyDescent="0.25">
      <c r="A11" t="s">
        <v>753</v>
      </c>
      <c r="B11" s="25">
        <f>'Revenue, Cost, WC'!G115</f>
        <v>0</v>
      </c>
      <c r="C11" s="25">
        <f>'Revenue, Cost, WC'!H115</f>
        <v>0</v>
      </c>
      <c r="D11" s="25">
        <f>'Revenue, Cost, WC'!I115</f>
        <v>0</v>
      </c>
      <c r="E11" s="25">
        <f>'Revenue, Cost, WC'!J115</f>
        <v>0</v>
      </c>
      <c r="F11" s="25">
        <f>'Revenue, Cost, WC'!K115</f>
        <v>0</v>
      </c>
      <c r="G11" s="25">
        <f>'Revenue, Cost, WC'!L115</f>
        <v>0</v>
      </c>
    </row>
    <row r="12" spans="1:18" x14ac:dyDescent="0.25">
      <c r="A12" t="s">
        <v>752</v>
      </c>
      <c r="B12" s="25">
        <f t="shared" ref="B12:G12" si="3">B10+B9-B11</f>
        <v>9444</v>
      </c>
      <c r="C12" s="25">
        <f t="shared" si="3"/>
        <v>0</v>
      </c>
      <c r="D12" s="25">
        <f t="shared" si="3"/>
        <v>0</v>
      </c>
      <c r="E12" s="25">
        <f t="shared" si="3"/>
        <v>0</v>
      </c>
      <c r="F12" s="25">
        <f t="shared" si="3"/>
        <v>0</v>
      </c>
      <c r="G12" s="25">
        <f t="shared" si="3"/>
        <v>0</v>
      </c>
    </row>
    <row r="14" spans="1:18" x14ac:dyDescent="0.25">
      <c r="A14" t="s">
        <v>755</v>
      </c>
      <c r="D14" s="13" t="e">
        <f>(D9/C9)-1</f>
        <v>#DIV/0!</v>
      </c>
      <c r="E14" s="13" t="e">
        <f>(E9/D9)-1</f>
        <v>#DIV/0!</v>
      </c>
      <c r="F14" s="13" t="e">
        <f>(F9/E9)-1</f>
        <v>#DIV/0!</v>
      </c>
      <c r="G14" s="13" t="e">
        <f>(G9/F9)-1</f>
        <v>#DIV/0!</v>
      </c>
      <c r="H14" s="53" t="e">
        <f>(G14-(($G$14-$R$14)/11))</f>
        <v>#DIV/0!</v>
      </c>
      <c r="I14" s="53" t="e">
        <f t="shared" ref="I14:Q14" si="4">(H14-(($G$14-$R$14)/11))</f>
        <v>#DIV/0!</v>
      </c>
      <c r="J14" s="53" t="e">
        <f t="shared" si="4"/>
        <v>#DIV/0!</v>
      </c>
      <c r="K14" s="53" t="e">
        <f t="shared" si="4"/>
        <v>#DIV/0!</v>
      </c>
      <c r="L14" s="53" t="e">
        <f t="shared" si="4"/>
        <v>#DIV/0!</v>
      </c>
      <c r="M14" s="53" t="e">
        <f t="shared" si="4"/>
        <v>#DIV/0!</v>
      </c>
      <c r="N14" s="53" t="e">
        <f t="shared" si="4"/>
        <v>#DIV/0!</v>
      </c>
      <c r="O14" s="53" t="e">
        <f t="shared" si="4"/>
        <v>#DIV/0!</v>
      </c>
      <c r="P14" s="53" t="e">
        <f t="shared" si="4"/>
        <v>#DIV/0!</v>
      </c>
      <c r="Q14" s="53" t="e">
        <f t="shared" si="4"/>
        <v>#DIV/0!</v>
      </c>
      <c r="R14" s="44">
        <f>B18</f>
        <v>8.8999999999999999E-3</v>
      </c>
    </row>
    <row r="15" spans="1:18" x14ac:dyDescent="0.25">
      <c r="A15" t="s">
        <v>756</v>
      </c>
      <c r="B15" s="13">
        <f>'Cash Flow - FCFE'!B22</f>
        <v>4.0837999999999999E-2</v>
      </c>
    </row>
    <row r="16" spans="1:18" x14ac:dyDescent="0.25">
      <c r="A16" t="s">
        <v>813</v>
      </c>
      <c r="B16" s="13">
        <f>Debt!O2</f>
        <v>2.1999999999999999E-2</v>
      </c>
    </row>
    <row r="17" spans="1:18" x14ac:dyDescent="0.25">
      <c r="A17" t="s">
        <v>812</v>
      </c>
      <c r="B17" s="13" t="e">
        <f>((('Balance Sheet'!G35+'Balance Sheet'!G36)/('Balance Sheet'!G35+'Balance Sheet'!G36+'Balance Sheet'!G45))*'Cash Flow - FCFF'!B16*(1-'Revenue, Cost, WC'!G79)) + (('Balance Sheet'!G45/('Balance Sheet'!G45+'Balance Sheet'!G35+'Balance Sheet'!G36))*'Cash Flow - FCFF'!B15)</f>
        <v>#DIV/0!</v>
      </c>
    </row>
    <row r="18" spans="1:18" x14ac:dyDescent="0.25">
      <c r="A18" t="s">
        <v>759</v>
      </c>
      <c r="B18" s="13">
        <v>8.8999999999999999E-3</v>
      </c>
    </row>
    <row r="19" spans="1:18" x14ac:dyDescent="0.25">
      <c r="A19" t="s">
        <v>729</v>
      </c>
      <c r="C19" s="27" t="e">
        <f t="shared" ref="C19:Q19" si="5">C9/(1+$B$17)^C1</f>
        <v>#DIV/0!</v>
      </c>
      <c r="D19" s="27" t="e">
        <f t="shared" si="5"/>
        <v>#DIV/0!</v>
      </c>
      <c r="E19" s="27" t="e">
        <f t="shared" si="5"/>
        <v>#DIV/0!</v>
      </c>
      <c r="F19" s="27" t="e">
        <f t="shared" si="5"/>
        <v>#DIV/0!</v>
      </c>
      <c r="G19" s="27" t="e">
        <f t="shared" si="5"/>
        <v>#DIV/0!</v>
      </c>
      <c r="H19" s="27" t="e">
        <f t="shared" si="5"/>
        <v>#DIV/0!</v>
      </c>
      <c r="I19" s="27" t="e">
        <f t="shared" si="5"/>
        <v>#DIV/0!</v>
      </c>
      <c r="J19" s="27" t="e">
        <f t="shared" si="5"/>
        <v>#DIV/0!</v>
      </c>
      <c r="K19" s="27" t="e">
        <f t="shared" si="5"/>
        <v>#DIV/0!</v>
      </c>
      <c r="L19" s="27" t="e">
        <f t="shared" si="5"/>
        <v>#DIV/0!</v>
      </c>
      <c r="M19" s="27" t="e">
        <f t="shared" si="5"/>
        <v>#DIV/0!</v>
      </c>
      <c r="N19" s="27" t="e">
        <f t="shared" si="5"/>
        <v>#DIV/0!</v>
      </c>
      <c r="O19" s="27" t="e">
        <f t="shared" si="5"/>
        <v>#DIV/0!</v>
      </c>
      <c r="P19" s="27" t="e">
        <f t="shared" si="5"/>
        <v>#DIV/0!</v>
      </c>
      <c r="Q19" s="27" t="e">
        <f t="shared" si="5"/>
        <v>#DIV/0!</v>
      </c>
      <c r="R19" s="48" t="e">
        <f>R9/(1+B17)^Q1</f>
        <v>#DIV/0!</v>
      </c>
    </row>
    <row r="20" spans="1:18" x14ac:dyDescent="0.25">
      <c r="A20" t="s">
        <v>766</v>
      </c>
      <c r="B20" s="27" t="e">
        <f>SUM(C19:R19)</f>
        <v>#DIV/0!</v>
      </c>
    </row>
    <row r="21" spans="1:18" x14ac:dyDescent="0.25">
      <c r="A21" s="37" t="s">
        <v>763</v>
      </c>
      <c r="B21" s="27">
        <f>'Balance Sheet'!G35+'Balance Sheet'!G36</f>
        <v>0</v>
      </c>
    </row>
    <row r="22" spans="1:18" x14ac:dyDescent="0.25">
      <c r="A22" s="37" t="s">
        <v>764</v>
      </c>
      <c r="B22" s="27">
        <f>'Balance Sheet'!G5</f>
        <v>0</v>
      </c>
    </row>
    <row r="23" spans="1:18" x14ac:dyDescent="0.25">
      <c r="A23" s="19" t="s">
        <v>765</v>
      </c>
      <c r="B23" s="27" t="e">
        <f>B20-B21+B22</f>
        <v>#DIV/0!</v>
      </c>
    </row>
    <row r="24" spans="1:18" x14ac:dyDescent="0.25">
      <c r="A24" t="s">
        <v>758</v>
      </c>
      <c r="B24" s="12">
        <f>441520000/1000000</f>
        <v>441.52</v>
      </c>
    </row>
    <row r="25" spans="1:18" x14ac:dyDescent="0.25">
      <c r="A25" t="s">
        <v>757</v>
      </c>
      <c r="B25" s="27" t="e">
        <f>B23/B24</f>
        <v>#DIV/0!</v>
      </c>
    </row>
    <row r="32" spans="1:18" x14ac:dyDescent="0.25">
      <c r="G32" s="2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workbookViewId="0">
      <selection activeCell="H23" sqref="H23"/>
    </sheetView>
  </sheetViews>
  <sheetFormatPr defaultColWidth="10.3984375" defaultRowHeight="11.5" x14ac:dyDescent="0.25"/>
  <cols>
    <col min="1" max="1" width="37.8984375" customWidth="1"/>
    <col min="2" max="2" width="9.09765625" customWidth="1"/>
    <col min="3" max="3" width="43.796875" customWidth="1"/>
  </cols>
  <sheetData>
    <row r="1" spans="1:3" ht="12" x14ac:dyDescent="0.3">
      <c r="A1" s="1" t="s">
        <v>0</v>
      </c>
    </row>
    <row r="2" spans="1:3" ht="12" x14ac:dyDescent="0.3">
      <c r="A2" s="1" t="s">
        <v>1</v>
      </c>
    </row>
    <row r="3" spans="1:3" ht="12" x14ac:dyDescent="0.3">
      <c r="A3" s="1" t="s">
        <v>2</v>
      </c>
    </row>
    <row r="4" spans="1:3" ht="12" x14ac:dyDescent="0.3">
      <c r="A4" s="2" t="s">
        <v>3</v>
      </c>
    </row>
    <row r="5" spans="1:3" ht="12" x14ac:dyDescent="0.3">
      <c r="A5" s="1" t="s">
        <v>11</v>
      </c>
    </row>
    <row r="6" spans="1:3" ht="12" x14ac:dyDescent="0.3">
      <c r="A6" s="2" t="s">
        <v>3</v>
      </c>
    </row>
    <row r="7" spans="1:3" ht="12" x14ac:dyDescent="0.3">
      <c r="A7" s="2" t="s">
        <v>3</v>
      </c>
    </row>
    <row r="8" spans="1:3" ht="12" x14ac:dyDescent="0.3">
      <c r="A8" s="2" t="s">
        <v>3</v>
      </c>
    </row>
    <row r="9" spans="1:3" ht="12" x14ac:dyDescent="0.3">
      <c r="A9" s="2" t="s">
        <v>3</v>
      </c>
    </row>
    <row r="10" spans="1:3" ht="12" x14ac:dyDescent="0.3">
      <c r="A10" s="2" t="s">
        <v>3</v>
      </c>
      <c r="B10" s="2" t="s">
        <v>3</v>
      </c>
      <c r="C10" s="2" t="s">
        <v>3</v>
      </c>
    </row>
    <row r="11" spans="1:3" ht="12" x14ac:dyDescent="0.3">
      <c r="A11" s="3" t="s">
        <v>12</v>
      </c>
      <c r="B11" s="2" t="s">
        <v>3</v>
      </c>
      <c r="C11" s="3" t="s">
        <v>13</v>
      </c>
    </row>
    <row r="12" spans="1:3" ht="12" x14ac:dyDescent="0.3">
      <c r="A12" s="3" t="s">
        <v>14</v>
      </c>
      <c r="B12" s="2" t="s">
        <v>3</v>
      </c>
      <c r="C12" s="3" t="s">
        <v>15</v>
      </c>
    </row>
    <row r="13" spans="1:3" ht="12" x14ac:dyDescent="0.3">
      <c r="A13" s="3" t="s">
        <v>16</v>
      </c>
    </row>
    <row r="14" spans="1:3" ht="12" x14ac:dyDescent="0.3">
      <c r="A14" s="2" t="s">
        <v>3</v>
      </c>
    </row>
    <row r="15" spans="1:3" ht="12" x14ac:dyDescent="0.3">
      <c r="A15" s="1" t="s">
        <v>8</v>
      </c>
    </row>
    <row r="16" spans="1:3" ht="12" x14ac:dyDescent="0.3">
      <c r="A16" s="1" t="s">
        <v>9</v>
      </c>
    </row>
    <row r="17" spans="1:1" ht="12" x14ac:dyDescent="0.3">
      <c r="A17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254"/>
  <sheetViews>
    <sheetView workbookViewId="0">
      <selection activeCell="C6" sqref="C6"/>
    </sheetView>
  </sheetViews>
  <sheetFormatPr defaultRowHeight="11.5" x14ac:dyDescent="0.25"/>
  <cols>
    <col min="2" max="4" width="14.8984375" customWidth="1"/>
  </cols>
  <sheetData>
    <row r="1" spans="1:7" x14ac:dyDescent="0.25">
      <c r="A1" s="57" t="s">
        <v>777</v>
      </c>
      <c r="B1" s="57" t="s">
        <v>17</v>
      </c>
      <c r="C1" s="57" t="s">
        <v>779</v>
      </c>
      <c r="D1" s="278" t="s">
        <v>778</v>
      </c>
      <c r="E1" s="278"/>
    </row>
    <row r="2" spans="1:7" x14ac:dyDescent="0.25">
      <c r="A2" s="45">
        <v>43622</v>
      </c>
      <c r="B2">
        <v>251.21000699999999</v>
      </c>
      <c r="C2">
        <v>7615.5498049999997</v>
      </c>
      <c r="D2" s="21" t="s">
        <v>17</v>
      </c>
      <c r="E2" s="21" t="s">
        <v>779</v>
      </c>
    </row>
    <row r="3" spans="1:7" x14ac:dyDescent="0.25">
      <c r="A3" s="45">
        <v>43623</v>
      </c>
      <c r="B3">
        <v>256.01001000000002</v>
      </c>
      <c r="C3">
        <v>7742.1000979999999</v>
      </c>
      <c r="D3" s="13">
        <f>(B3/B2)-1</f>
        <v>1.9107531014877166E-2</v>
      </c>
      <c r="E3" s="13">
        <f>(C3/C2)-1</f>
        <v>1.6617354785981808E-2</v>
      </c>
      <c r="G3">
        <f>SLOPE(D3:D254,E3:E254)</f>
        <v>0.62141570892110465</v>
      </c>
    </row>
    <row r="4" spans="1:7" x14ac:dyDescent="0.25">
      <c r="A4" s="45">
        <v>43626</v>
      </c>
      <c r="B4">
        <v>256.85000600000001</v>
      </c>
      <c r="C4">
        <v>7823.169922</v>
      </c>
      <c r="D4" s="13">
        <f t="shared" ref="D4:D67" si="0">(B4/B3)-1</f>
        <v>3.2811060786255286E-3</v>
      </c>
      <c r="E4" s="13">
        <f t="shared" ref="E4:E67" si="1">(C4/C3)-1</f>
        <v>1.0471296285738063E-2</v>
      </c>
    </row>
    <row r="5" spans="1:7" x14ac:dyDescent="0.25">
      <c r="A5" s="45">
        <v>43627</v>
      </c>
      <c r="B5">
        <v>257.10998499999999</v>
      </c>
      <c r="C5">
        <v>7822.5698240000002</v>
      </c>
      <c r="D5" s="13">
        <f t="shared" si="0"/>
        <v>1.0121821838695588E-3</v>
      </c>
      <c r="E5" s="13">
        <f t="shared" si="1"/>
        <v>-7.6707780347740062E-5</v>
      </c>
    </row>
    <row r="6" spans="1:7" x14ac:dyDescent="0.25">
      <c r="A6" s="45">
        <v>43628</v>
      </c>
      <c r="B6">
        <v>257.23001099999999</v>
      </c>
      <c r="C6">
        <v>7792.7202150000003</v>
      </c>
      <c r="D6" s="13">
        <f t="shared" si="0"/>
        <v>4.6682745518422664E-4</v>
      </c>
      <c r="E6" s="13">
        <f t="shared" si="1"/>
        <v>-3.8158315836849255E-3</v>
      </c>
    </row>
    <row r="7" spans="1:7" x14ac:dyDescent="0.25">
      <c r="A7" s="45">
        <v>43629</v>
      </c>
      <c r="B7">
        <v>259.709991</v>
      </c>
      <c r="C7">
        <v>7837.1298829999996</v>
      </c>
      <c r="D7" s="13">
        <f t="shared" si="0"/>
        <v>9.6410989929165414E-3</v>
      </c>
      <c r="E7" s="13">
        <f t="shared" si="1"/>
        <v>5.6988659639694017E-3</v>
      </c>
    </row>
    <row r="8" spans="1:7" x14ac:dyDescent="0.25">
      <c r="A8" s="45">
        <v>43630</v>
      </c>
      <c r="B8">
        <v>260.14999399999999</v>
      </c>
      <c r="C8">
        <v>7796.6601559999999</v>
      </c>
      <c r="D8" s="13">
        <f t="shared" si="0"/>
        <v>1.6942089840510377E-3</v>
      </c>
      <c r="E8" s="13">
        <f t="shared" si="1"/>
        <v>-5.1638453878102286E-3</v>
      </c>
    </row>
    <row r="9" spans="1:7" x14ac:dyDescent="0.25">
      <c r="A9" s="45">
        <v>43633</v>
      </c>
      <c r="B9">
        <v>261.42999300000002</v>
      </c>
      <c r="C9">
        <v>7845.0200199999999</v>
      </c>
      <c r="D9" s="13">
        <f t="shared" si="0"/>
        <v>4.920234593586148E-3</v>
      </c>
      <c r="E9" s="13">
        <f t="shared" si="1"/>
        <v>6.2026384416389302E-3</v>
      </c>
    </row>
    <row r="10" spans="1:7" x14ac:dyDescent="0.25">
      <c r="A10" s="45">
        <v>43634</v>
      </c>
      <c r="B10">
        <v>262.73998999999998</v>
      </c>
      <c r="C10">
        <v>7953.8798829999996</v>
      </c>
      <c r="D10" s="13">
        <f t="shared" si="0"/>
        <v>5.0108902385961329E-3</v>
      </c>
      <c r="E10" s="13">
        <f t="shared" si="1"/>
        <v>1.3876301490942433E-2</v>
      </c>
    </row>
    <row r="11" spans="1:7" x14ac:dyDescent="0.25">
      <c r="A11" s="45">
        <v>43635</v>
      </c>
      <c r="B11">
        <v>263.66000400000001</v>
      </c>
      <c r="C11">
        <v>7987.3198240000002</v>
      </c>
      <c r="D11" s="13">
        <f t="shared" si="0"/>
        <v>3.5016138959282905E-3</v>
      </c>
      <c r="E11" s="13">
        <f t="shared" si="1"/>
        <v>4.2042300728568627E-3</v>
      </c>
    </row>
    <row r="12" spans="1:7" x14ac:dyDescent="0.25">
      <c r="A12" s="45">
        <v>43636</v>
      </c>
      <c r="B12">
        <v>267.35000600000001</v>
      </c>
      <c r="C12">
        <v>8051.3398440000001</v>
      </c>
      <c r="D12" s="13">
        <f t="shared" si="0"/>
        <v>1.3995304346578141E-2</v>
      </c>
      <c r="E12" s="13">
        <f t="shared" si="1"/>
        <v>8.015206779079298E-3</v>
      </c>
    </row>
    <row r="13" spans="1:7" x14ac:dyDescent="0.25">
      <c r="A13" s="45">
        <v>43637</v>
      </c>
      <c r="B13">
        <v>266.13000499999998</v>
      </c>
      <c r="C13">
        <v>8031.7099609999996</v>
      </c>
      <c r="D13" s="13">
        <f t="shared" si="0"/>
        <v>-4.5633101650277563E-3</v>
      </c>
      <c r="E13" s="13">
        <f t="shared" si="1"/>
        <v>-2.4380889864721311E-3</v>
      </c>
    </row>
    <row r="14" spans="1:7" x14ac:dyDescent="0.25">
      <c r="A14" s="45">
        <v>43640</v>
      </c>
      <c r="B14">
        <v>266.76998900000001</v>
      </c>
      <c r="C14">
        <v>8005.7001950000003</v>
      </c>
      <c r="D14" s="13">
        <f t="shared" si="0"/>
        <v>2.4047795738026956E-3</v>
      </c>
      <c r="E14" s="13">
        <f t="shared" si="1"/>
        <v>-3.2383846187544751E-3</v>
      </c>
    </row>
    <row r="15" spans="1:7" x14ac:dyDescent="0.25">
      <c r="A15" s="45">
        <v>43641</v>
      </c>
      <c r="B15">
        <v>266.35998499999999</v>
      </c>
      <c r="C15">
        <v>7884.7202150000003</v>
      </c>
      <c r="D15" s="13">
        <f t="shared" si="0"/>
        <v>-1.5369195070890074E-3</v>
      </c>
      <c r="E15" s="13">
        <f t="shared" si="1"/>
        <v>-1.5111730024009451E-2</v>
      </c>
    </row>
    <row r="16" spans="1:7" x14ac:dyDescent="0.25">
      <c r="A16" s="45">
        <v>43642</v>
      </c>
      <c r="B16">
        <v>264.41000400000001</v>
      </c>
      <c r="C16">
        <v>7909.9702150000003</v>
      </c>
      <c r="D16" s="13">
        <f t="shared" si="0"/>
        <v>-7.3208481371553891E-3</v>
      </c>
      <c r="E16" s="13">
        <f t="shared" si="1"/>
        <v>3.2023964467329247E-3</v>
      </c>
    </row>
    <row r="17" spans="1:5" x14ac:dyDescent="0.25">
      <c r="A17" s="45">
        <v>43643</v>
      </c>
      <c r="B17">
        <v>265.57998700000002</v>
      </c>
      <c r="C17">
        <v>7967.7597660000001</v>
      </c>
      <c r="D17" s="13">
        <f t="shared" si="0"/>
        <v>4.4248817453971245E-3</v>
      </c>
      <c r="E17" s="13">
        <f t="shared" si="1"/>
        <v>7.3059125924912482E-3</v>
      </c>
    </row>
    <row r="18" spans="1:5" x14ac:dyDescent="0.25">
      <c r="A18" s="45">
        <v>43644</v>
      </c>
      <c r="B18">
        <v>264.26001000000002</v>
      </c>
      <c r="C18">
        <v>8006.2402339999999</v>
      </c>
      <c r="D18" s="13">
        <f t="shared" si="0"/>
        <v>-4.9701674245506977E-3</v>
      </c>
      <c r="E18" s="13">
        <f t="shared" si="1"/>
        <v>4.8295216133653618E-3</v>
      </c>
    </row>
    <row r="19" spans="1:5" x14ac:dyDescent="0.25">
      <c r="A19" s="45">
        <v>43647</v>
      </c>
      <c r="B19">
        <v>263.54998799999998</v>
      </c>
      <c r="C19">
        <v>8091.1601559999999</v>
      </c>
      <c r="D19" s="13">
        <f t="shared" si="0"/>
        <v>-2.6868310494654324E-3</v>
      </c>
      <c r="E19" s="13">
        <f t="shared" si="1"/>
        <v>1.0606716700726881E-2</v>
      </c>
    </row>
    <row r="20" spans="1:5" x14ac:dyDescent="0.25">
      <c r="A20" s="45">
        <v>43648</v>
      </c>
      <c r="B20">
        <v>265.47000100000002</v>
      </c>
      <c r="C20">
        <v>8109.0898440000001</v>
      </c>
      <c r="D20" s="13">
        <f t="shared" si="0"/>
        <v>7.2851947919649884E-3</v>
      </c>
      <c r="E20" s="13">
        <f t="shared" si="1"/>
        <v>2.2159600915456767E-3</v>
      </c>
    </row>
    <row r="21" spans="1:5" x14ac:dyDescent="0.25">
      <c r="A21" s="45">
        <v>43649</v>
      </c>
      <c r="B21">
        <v>269.14001500000001</v>
      </c>
      <c r="C21">
        <v>8170.2299800000001</v>
      </c>
      <c r="D21" s="13">
        <f t="shared" si="0"/>
        <v>1.3824590297115913E-2</v>
      </c>
      <c r="E21" s="13">
        <f t="shared" si="1"/>
        <v>7.5397038602598165E-3</v>
      </c>
    </row>
    <row r="22" spans="1:5" x14ac:dyDescent="0.25">
      <c r="A22" s="45">
        <v>43651</v>
      </c>
      <c r="B22">
        <v>268.25</v>
      </c>
      <c r="C22">
        <v>8161.7900390000004</v>
      </c>
      <c r="D22" s="13">
        <f t="shared" si="0"/>
        <v>-3.3068847083180808E-3</v>
      </c>
      <c r="E22" s="13">
        <f t="shared" si="1"/>
        <v>-1.0330114354993869E-3</v>
      </c>
    </row>
    <row r="23" spans="1:5" x14ac:dyDescent="0.25">
      <c r="A23" s="45">
        <v>43654</v>
      </c>
      <c r="B23">
        <v>269.39999399999999</v>
      </c>
      <c r="C23">
        <v>8098.3798829999996</v>
      </c>
      <c r="D23" s="13">
        <f t="shared" si="0"/>
        <v>4.2870232991611967E-3</v>
      </c>
      <c r="E23" s="13">
        <f t="shared" si="1"/>
        <v>-7.7691481521827699E-3</v>
      </c>
    </row>
    <row r="24" spans="1:5" x14ac:dyDescent="0.25">
      <c r="A24" s="45">
        <v>43655</v>
      </c>
      <c r="B24">
        <v>269.97000100000002</v>
      </c>
      <c r="C24">
        <v>8141.7299800000001</v>
      </c>
      <c r="D24" s="13">
        <f t="shared" si="0"/>
        <v>2.1158389483855178E-3</v>
      </c>
      <c r="E24" s="13">
        <f t="shared" si="1"/>
        <v>5.3529344913789689E-3</v>
      </c>
    </row>
    <row r="25" spans="1:5" x14ac:dyDescent="0.25">
      <c r="A25" s="45">
        <v>43656</v>
      </c>
      <c r="B25">
        <v>271.42001299999998</v>
      </c>
      <c r="C25">
        <v>8202.5302730000003</v>
      </c>
      <c r="D25" s="13">
        <f t="shared" si="0"/>
        <v>5.3710115739857844E-3</v>
      </c>
      <c r="E25" s="13">
        <f t="shared" si="1"/>
        <v>7.4677363593922408E-3</v>
      </c>
    </row>
    <row r="26" spans="1:5" x14ac:dyDescent="0.25">
      <c r="A26" s="45">
        <v>43657</v>
      </c>
      <c r="B26">
        <v>276.540009</v>
      </c>
      <c r="C26">
        <v>8196.0400389999995</v>
      </c>
      <c r="D26" s="13">
        <f t="shared" si="0"/>
        <v>1.8863737951408943E-2</v>
      </c>
      <c r="E26" s="13">
        <f t="shared" si="1"/>
        <v>-7.9124779598371831E-4</v>
      </c>
    </row>
    <row r="27" spans="1:5" x14ac:dyDescent="0.25">
      <c r="A27" s="45">
        <v>43658</v>
      </c>
      <c r="B27">
        <v>279.44000199999999</v>
      </c>
      <c r="C27">
        <v>8244.1396480000003</v>
      </c>
      <c r="D27" s="13">
        <f t="shared" si="0"/>
        <v>1.0486703209733328E-2</v>
      </c>
      <c r="E27" s="13">
        <f t="shared" si="1"/>
        <v>5.8686400714398346E-3</v>
      </c>
    </row>
    <row r="28" spans="1:5" x14ac:dyDescent="0.25">
      <c r="A28" s="45">
        <v>43661</v>
      </c>
      <c r="B28">
        <v>280.57998700000002</v>
      </c>
      <c r="C28">
        <v>8258.1904300000006</v>
      </c>
      <c r="D28" s="13">
        <f t="shared" si="0"/>
        <v>4.0795340389383483E-3</v>
      </c>
      <c r="E28" s="13">
        <f t="shared" si="1"/>
        <v>1.7043357584813901E-3</v>
      </c>
    </row>
    <row r="29" spans="1:5" x14ac:dyDescent="0.25">
      <c r="A29" s="45">
        <v>43662</v>
      </c>
      <c r="B29">
        <v>280.64999399999999</v>
      </c>
      <c r="C29">
        <v>8222.7998050000006</v>
      </c>
      <c r="D29" s="13">
        <f t="shared" si="0"/>
        <v>2.4950817322544339E-4</v>
      </c>
      <c r="E29" s="13">
        <f t="shared" si="1"/>
        <v>-4.285518153157919E-3</v>
      </c>
    </row>
    <row r="30" spans="1:5" x14ac:dyDescent="0.25">
      <c r="A30" s="45">
        <v>43663</v>
      </c>
      <c r="B30">
        <v>281.55999800000001</v>
      </c>
      <c r="C30">
        <v>8185.2099609999996</v>
      </c>
      <c r="D30" s="13">
        <f t="shared" si="0"/>
        <v>3.242487152877116E-3</v>
      </c>
      <c r="E30" s="13">
        <f t="shared" si="1"/>
        <v>-4.5714166575165915E-3</v>
      </c>
    </row>
    <row r="31" spans="1:5" x14ac:dyDescent="0.25">
      <c r="A31" s="45">
        <v>43664</v>
      </c>
      <c r="B31">
        <v>282.91000400000001</v>
      </c>
      <c r="C31">
        <v>8207.2402340000008</v>
      </c>
      <c r="D31" s="13">
        <f t="shared" si="0"/>
        <v>4.7947365023066624E-3</v>
      </c>
      <c r="E31" s="13">
        <f t="shared" si="1"/>
        <v>2.6914731698965966E-3</v>
      </c>
    </row>
    <row r="32" spans="1:5" x14ac:dyDescent="0.25">
      <c r="A32" s="45">
        <v>43665</v>
      </c>
      <c r="B32">
        <v>281.51001000000002</v>
      </c>
      <c r="C32">
        <v>8146.4902339999999</v>
      </c>
      <c r="D32" s="13">
        <f t="shared" si="0"/>
        <v>-4.948548938552233E-3</v>
      </c>
      <c r="E32" s="13">
        <f t="shared" si="1"/>
        <v>-7.4020009489100813E-3</v>
      </c>
    </row>
    <row r="33" spans="1:5" x14ac:dyDescent="0.25">
      <c r="A33" s="45">
        <v>43668</v>
      </c>
      <c r="B33">
        <v>280.17001299999998</v>
      </c>
      <c r="C33">
        <v>8204.1396480000003</v>
      </c>
      <c r="D33" s="13">
        <f t="shared" si="0"/>
        <v>-4.7600332222645925E-3</v>
      </c>
      <c r="E33" s="13">
        <f t="shared" si="1"/>
        <v>7.0765952384495012E-3</v>
      </c>
    </row>
    <row r="34" spans="1:5" x14ac:dyDescent="0.25">
      <c r="A34" s="45">
        <v>43669</v>
      </c>
      <c r="B34">
        <v>280.10000600000001</v>
      </c>
      <c r="C34">
        <v>8251.4003909999992</v>
      </c>
      <c r="D34" s="13">
        <f t="shared" si="0"/>
        <v>-2.4987327962178174E-4</v>
      </c>
      <c r="E34" s="13">
        <f t="shared" si="1"/>
        <v>5.7605970921668082E-3</v>
      </c>
    </row>
    <row r="35" spans="1:5" x14ac:dyDescent="0.25">
      <c r="A35" s="45">
        <v>43670</v>
      </c>
      <c r="B35">
        <v>280.82998700000002</v>
      </c>
      <c r="C35">
        <v>8321.5</v>
      </c>
      <c r="D35" s="13">
        <f t="shared" si="0"/>
        <v>2.6061441783760131E-3</v>
      </c>
      <c r="E35" s="13">
        <f t="shared" si="1"/>
        <v>8.4954802431427279E-3</v>
      </c>
    </row>
    <row r="36" spans="1:5" x14ac:dyDescent="0.25">
      <c r="A36" s="45">
        <v>43671</v>
      </c>
      <c r="B36">
        <v>279.79998799999998</v>
      </c>
      <c r="C36">
        <v>8238.5400389999995</v>
      </c>
      <c r="D36" s="13">
        <f t="shared" si="0"/>
        <v>-3.6676959287827993E-3</v>
      </c>
      <c r="E36" s="13">
        <f t="shared" si="1"/>
        <v>-9.9693517995553815E-3</v>
      </c>
    </row>
    <row r="37" spans="1:5" x14ac:dyDescent="0.25">
      <c r="A37" s="45">
        <v>43672</v>
      </c>
      <c r="B37">
        <v>281.36999500000002</v>
      </c>
      <c r="C37">
        <v>8330.2099610000005</v>
      </c>
      <c r="D37" s="13">
        <f t="shared" si="0"/>
        <v>5.6111760805366284E-3</v>
      </c>
      <c r="E37" s="13">
        <f t="shared" si="1"/>
        <v>1.1126962006138053E-2</v>
      </c>
    </row>
    <row r="38" spans="1:5" x14ac:dyDescent="0.25">
      <c r="A38" s="45">
        <v>43675</v>
      </c>
      <c r="B38">
        <v>280.13000499999998</v>
      </c>
      <c r="C38">
        <v>8293.3300780000009</v>
      </c>
      <c r="D38" s="13">
        <f t="shared" si="0"/>
        <v>-4.4069731031556314E-3</v>
      </c>
      <c r="E38" s="13">
        <f t="shared" si="1"/>
        <v>-4.4272453122624622E-3</v>
      </c>
    </row>
    <row r="39" spans="1:5" x14ac:dyDescent="0.25">
      <c r="A39" s="45">
        <v>43676</v>
      </c>
      <c r="B39">
        <v>279.5</v>
      </c>
      <c r="C39">
        <v>8273.6103519999997</v>
      </c>
      <c r="D39" s="13">
        <f t="shared" si="0"/>
        <v>-2.2489736506448033E-3</v>
      </c>
      <c r="E39" s="13">
        <f t="shared" si="1"/>
        <v>-2.3777813995746744E-3</v>
      </c>
    </row>
    <row r="40" spans="1:5" x14ac:dyDescent="0.25">
      <c r="A40" s="45">
        <v>43677</v>
      </c>
      <c r="B40">
        <v>275.63000499999998</v>
      </c>
      <c r="C40">
        <v>8175.419922</v>
      </c>
      <c r="D40" s="13">
        <f t="shared" si="0"/>
        <v>-1.3846135957066297E-2</v>
      </c>
      <c r="E40" s="13">
        <f t="shared" si="1"/>
        <v>-1.1867906007474005E-2</v>
      </c>
    </row>
    <row r="41" spans="1:5" x14ac:dyDescent="0.25">
      <c r="A41" s="45">
        <v>43678</v>
      </c>
      <c r="B41">
        <v>274.57000699999998</v>
      </c>
      <c r="C41">
        <v>8111.1201170000004</v>
      </c>
      <c r="D41" s="13">
        <f t="shared" si="0"/>
        <v>-3.8457278988911492E-3</v>
      </c>
      <c r="E41" s="13">
        <f t="shared" si="1"/>
        <v>-7.8650155727132409E-3</v>
      </c>
    </row>
    <row r="42" spans="1:5" x14ac:dyDescent="0.25">
      <c r="A42" s="45">
        <v>43679</v>
      </c>
      <c r="B42">
        <v>272.5</v>
      </c>
      <c r="C42">
        <v>8004.0698240000002</v>
      </c>
      <c r="D42" s="13">
        <f t="shared" si="0"/>
        <v>-7.5390863795257168E-3</v>
      </c>
      <c r="E42" s="13">
        <f t="shared" si="1"/>
        <v>-1.3197966674865835E-2</v>
      </c>
    </row>
    <row r="43" spans="1:5" x14ac:dyDescent="0.25">
      <c r="A43" s="45">
        <v>43682</v>
      </c>
      <c r="B43">
        <v>265.10000600000001</v>
      </c>
      <c r="C43">
        <v>7726.0400390000004</v>
      </c>
      <c r="D43" s="13">
        <f t="shared" si="0"/>
        <v>-2.7155941284403684E-2</v>
      </c>
      <c r="E43" s="13">
        <f t="shared" si="1"/>
        <v>-3.47360519227774E-2</v>
      </c>
    </row>
    <row r="44" spans="1:5" x14ac:dyDescent="0.25">
      <c r="A44" s="45">
        <v>43683</v>
      </c>
      <c r="B44">
        <v>269.30999800000001</v>
      </c>
      <c r="C44">
        <v>7833.2700199999999</v>
      </c>
      <c r="D44" s="13">
        <f t="shared" si="0"/>
        <v>1.5880769161506603E-2</v>
      </c>
      <c r="E44" s="13">
        <f t="shared" si="1"/>
        <v>1.3879035114847671E-2</v>
      </c>
    </row>
    <row r="45" spans="1:5" x14ac:dyDescent="0.25">
      <c r="A45" s="45">
        <v>43684</v>
      </c>
      <c r="B45">
        <v>274.29998799999998</v>
      </c>
      <c r="C45">
        <v>7862.830078</v>
      </c>
      <c r="D45" s="13">
        <f t="shared" si="0"/>
        <v>1.8528795949120269E-2</v>
      </c>
      <c r="E45" s="13">
        <f t="shared" si="1"/>
        <v>3.773654926298553E-3</v>
      </c>
    </row>
    <row r="46" spans="1:5" x14ac:dyDescent="0.25">
      <c r="A46" s="45">
        <v>43685</v>
      </c>
      <c r="B46">
        <v>274.79998799999998</v>
      </c>
      <c r="C46">
        <v>8039.1601559999999</v>
      </c>
      <c r="D46" s="13">
        <f t="shared" si="0"/>
        <v>1.8228218077793734E-3</v>
      </c>
      <c r="E46" s="13">
        <f t="shared" si="1"/>
        <v>2.2425777519136103E-2</v>
      </c>
    </row>
    <row r="47" spans="1:5" x14ac:dyDescent="0.25">
      <c r="A47" s="45">
        <v>43686</v>
      </c>
      <c r="B47">
        <v>273.94000199999999</v>
      </c>
      <c r="C47">
        <v>7959.1401370000003</v>
      </c>
      <c r="D47" s="13">
        <f t="shared" si="0"/>
        <v>-3.1294979532531242E-3</v>
      </c>
      <c r="E47" s="13">
        <f t="shared" si="1"/>
        <v>-9.9537784354597481E-3</v>
      </c>
    </row>
    <row r="48" spans="1:5" x14ac:dyDescent="0.25">
      <c r="A48" s="45">
        <v>43689</v>
      </c>
      <c r="B48">
        <v>271.30999800000001</v>
      </c>
      <c r="C48">
        <v>7863.4101559999999</v>
      </c>
      <c r="D48" s="13">
        <f t="shared" si="0"/>
        <v>-9.6006570080990894E-3</v>
      </c>
      <c r="E48" s="13">
        <f t="shared" si="1"/>
        <v>-1.2027678788438023E-2</v>
      </c>
    </row>
    <row r="49" spans="1:5" x14ac:dyDescent="0.25">
      <c r="A49" s="45">
        <v>43690</v>
      </c>
      <c r="B49">
        <v>276.26001000000002</v>
      </c>
      <c r="C49">
        <v>8016.3598629999997</v>
      </c>
      <c r="D49" s="13">
        <f t="shared" si="0"/>
        <v>1.8244856571780321E-2</v>
      </c>
      <c r="E49" s="13">
        <f t="shared" si="1"/>
        <v>1.9450811284884351E-2</v>
      </c>
    </row>
    <row r="50" spans="1:5" x14ac:dyDescent="0.25">
      <c r="A50" s="45">
        <v>43691</v>
      </c>
      <c r="B50">
        <v>268.14999399999999</v>
      </c>
      <c r="C50">
        <v>7773.9399409999996</v>
      </c>
      <c r="D50" s="13">
        <f t="shared" si="0"/>
        <v>-2.9356460241929394E-2</v>
      </c>
      <c r="E50" s="13">
        <f t="shared" si="1"/>
        <v>-3.0240648641399415E-2</v>
      </c>
    </row>
    <row r="51" spans="1:5" x14ac:dyDescent="0.25">
      <c r="A51" s="45">
        <v>43692</v>
      </c>
      <c r="B51">
        <v>271.51998900000001</v>
      </c>
      <c r="C51">
        <v>7766.6201170000004</v>
      </c>
      <c r="D51" s="13">
        <f t="shared" si="0"/>
        <v>1.2567574400169645E-2</v>
      </c>
      <c r="E51" s="13">
        <f t="shared" si="1"/>
        <v>-9.4158484057671465E-4</v>
      </c>
    </row>
    <row r="52" spans="1:5" x14ac:dyDescent="0.25">
      <c r="A52" s="45">
        <v>43693</v>
      </c>
      <c r="B52">
        <v>274.10000600000001</v>
      </c>
      <c r="C52">
        <v>7895.9902339999999</v>
      </c>
      <c r="D52" s="13">
        <f t="shared" si="0"/>
        <v>9.5021254586158399E-3</v>
      </c>
      <c r="E52" s="13">
        <f t="shared" si="1"/>
        <v>1.6657196444670674E-2</v>
      </c>
    </row>
    <row r="53" spans="1:5" x14ac:dyDescent="0.25">
      <c r="A53" s="45">
        <v>43696</v>
      </c>
      <c r="B53">
        <v>275.60998499999999</v>
      </c>
      <c r="C53">
        <v>8002.8100590000004</v>
      </c>
      <c r="D53" s="13">
        <f t="shared" si="0"/>
        <v>5.5088616087077824E-3</v>
      </c>
      <c r="E53" s="13">
        <f t="shared" si="1"/>
        <v>1.3528363363474849E-2</v>
      </c>
    </row>
    <row r="54" spans="1:5" x14ac:dyDescent="0.25">
      <c r="A54" s="45">
        <v>43697</v>
      </c>
      <c r="B54">
        <v>272.97000100000002</v>
      </c>
      <c r="C54">
        <v>7948.5600590000004</v>
      </c>
      <c r="D54" s="13">
        <f t="shared" si="0"/>
        <v>-9.5786950534465509E-3</v>
      </c>
      <c r="E54" s="13">
        <f t="shared" si="1"/>
        <v>-6.7788688723144919E-3</v>
      </c>
    </row>
    <row r="55" spans="1:5" x14ac:dyDescent="0.25">
      <c r="A55" s="45">
        <v>43698</v>
      </c>
      <c r="B55">
        <v>275.67999300000002</v>
      </c>
      <c r="C55">
        <v>8020.2099609999996</v>
      </c>
      <c r="D55" s="13">
        <f t="shared" si="0"/>
        <v>9.9278015535486652E-3</v>
      </c>
      <c r="E55" s="13">
        <f t="shared" si="1"/>
        <v>9.0141989829808367E-3</v>
      </c>
    </row>
    <row r="56" spans="1:5" x14ac:dyDescent="0.25">
      <c r="A56" s="45">
        <v>43699</v>
      </c>
      <c r="B56">
        <v>279.92001299999998</v>
      </c>
      <c r="C56">
        <v>7991.3901370000003</v>
      </c>
      <c r="D56" s="13">
        <f t="shared" si="0"/>
        <v>1.538022383800608E-2</v>
      </c>
      <c r="E56" s="13">
        <f t="shared" si="1"/>
        <v>-3.5934001902869772E-3</v>
      </c>
    </row>
    <row r="57" spans="1:5" x14ac:dyDescent="0.25">
      <c r="A57" s="45">
        <v>43700</v>
      </c>
      <c r="B57">
        <v>274.01001000000002</v>
      </c>
      <c r="C57">
        <v>7751.7700199999999</v>
      </c>
      <c r="D57" s="13">
        <f t="shared" si="0"/>
        <v>-2.1113184929724804E-2</v>
      </c>
      <c r="E57" s="13">
        <f t="shared" si="1"/>
        <v>-2.9984785236621514E-2</v>
      </c>
    </row>
    <row r="58" spans="1:5" x14ac:dyDescent="0.25">
      <c r="A58" s="45">
        <v>43703</v>
      </c>
      <c r="B58">
        <v>278.459991</v>
      </c>
      <c r="C58">
        <v>7853.7402339999999</v>
      </c>
      <c r="D58" s="13">
        <f t="shared" si="0"/>
        <v>1.6240213268120973E-2</v>
      </c>
      <c r="E58" s="13">
        <f t="shared" si="1"/>
        <v>1.3154442628833252E-2</v>
      </c>
    </row>
    <row r="59" spans="1:5" x14ac:dyDescent="0.25">
      <c r="A59" s="45">
        <v>43704</v>
      </c>
      <c r="B59">
        <v>292.38000499999998</v>
      </c>
      <c r="C59">
        <v>7826.9501950000003</v>
      </c>
      <c r="D59" s="13">
        <f t="shared" si="0"/>
        <v>4.9989278352019939E-2</v>
      </c>
      <c r="E59" s="13">
        <f t="shared" si="1"/>
        <v>-3.4111185501172203E-3</v>
      </c>
    </row>
    <row r="60" spans="1:5" x14ac:dyDescent="0.25">
      <c r="A60" s="45">
        <v>43705</v>
      </c>
      <c r="B60">
        <v>294.48998999999998</v>
      </c>
      <c r="C60">
        <v>7856.8798829999996</v>
      </c>
      <c r="D60" s="13">
        <f t="shared" si="0"/>
        <v>7.2165844582976479E-3</v>
      </c>
      <c r="E60" s="13">
        <f t="shared" si="1"/>
        <v>3.8239272327449392E-3</v>
      </c>
    </row>
    <row r="61" spans="1:5" x14ac:dyDescent="0.25">
      <c r="A61" s="45">
        <v>43706</v>
      </c>
      <c r="B61">
        <v>296.57000699999998</v>
      </c>
      <c r="C61">
        <v>7973.3901370000003</v>
      </c>
      <c r="D61" s="13">
        <f t="shared" si="0"/>
        <v>7.0631161351188965E-3</v>
      </c>
      <c r="E61" s="13">
        <f t="shared" si="1"/>
        <v>1.4829074102570283E-2</v>
      </c>
    </row>
    <row r="62" spans="1:5" x14ac:dyDescent="0.25">
      <c r="A62" s="45">
        <v>43707</v>
      </c>
      <c r="B62">
        <v>294.76001000000002</v>
      </c>
      <c r="C62">
        <v>7962.8798829999996</v>
      </c>
      <c r="D62" s="13">
        <f t="shared" si="0"/>
        <v>-6.103101990350468E-3</v>
      </c>
      <c r="E62" s="13">
        <f t="shared" si="1"/>
        <v>-1.3181662780087366E-3</v>
      </c>
    </row>
    <row r="63" spans="1:5" x14ac:dyDescent="0.25">
      <c r="A63" s="45">
        <v>43711</v>
      </c>
      <c r="B63">
        <v>292.04998799999998</v>
      </c>
      <c r="C63">
        <v>7874.1601559999999</v>
      </c>
      <c r="D63" s="13">
        <f t="shared" si="0"/>
        <v>-9.1939948027550678E-3</v>
      </c>
      <c r="E63" s="13">
        <f t="shared" si="1"/>
        <v>-1.1141663355918263E-2</v>
      </c>
    </row>
    <row r="64" spans="1:5" x14ac:dyDescent="0.25">
      <c r="A64" s="45">
        <v>43712</v>
      </c>
      <c r="B64">
        <v>296.11999500000002</v>
      </c>
      <c r="C64">
        <v>7976.8798829999996</v>
      </c>
      <c r="D64" s="13">
        <f t="shared" si="0"/>
        <v>1.3935994409286057E-2</v>
      </c>
      <c r="E64" s="13">
        <f t="shared" si="1"/>
        <v>1.3045166083106574E-2</v>
      </c>
    </row>
    <row r="65" spans="1:5" x14ac:dyDescent="0.25">
      <c r="A65" s="45">
        <v>43713</v>
      </c>
      <c r="B65">
        <v>296.97000100000002</v>
      </c>
      <c r="C65">
        <v>8116.830078</v>
      </c>
      <c r="D65" s="13">
        <f t="shared" si="0"/>
        <v>2.8704782329880274E-3</v>
      </c>
      <c r="E65" s="13">
        <f t="shared" si="1"/>
        <v>1.7544478173509459E-2</v>
      </c>
    </row>
    <row r="66" spans="1:5" x14ac:dyDescent="0.25">
      <c r="A66" s="45">
        <v>43714</v>
      </c>
      <c r="B66">
        <v>303.76001000000002</v>
      </c>
      <c r="C66">
        <v>8103.0698240000002</v>
      </c>
      <c r="D66" s="13">
        <f t="shared" si="0"/>
        <v>2.2864292612505333E-2</v>
      </c>
      <c r="E66" s="13">
        <f t="shared" si="1"/>
        <v>-1.6952743703845252E-3</v>
      </c>
    </row>
    <row r="67" spans="1:5" x14ac:dyDescent="0.25">
      <c r="A67" s="45">
        <v>43717</v>
      </c>
      <c r="B67">
        <v>299</v>
      </c>
      <c r="C67">
        <v>8087.4399409999996</v>
      </c>
      <c r="D67" s="13">
        <f t="shared" si="0"/>
        <v>-1.5670298404322658E-2</v>
      </c>
      <c r="E67" s="13">
        <f t="shared" si="1"/>
        <v>-1.9288841561881931E-3</v>
      </c>
    </row>
    <row r="68" spans="1:5" x14ac:dyDescent="0.25">
      <c r="A68" s="45">
        <v>43718</v>
      </c>
      <c r="B68">
        <v>297</v>
      </c>
      <c r="C68">
        <v>8084.1601559999999</v>
      </c>
      <c r="D68" s="13">
        <f t="shared" ref="D68:D131" si="2">(B68/B67)-1</f>
        <v>-6.6889632107023367E-3</v>
      </c>
      <c r="E68" s="13">
        <f t="shared" ref="E68:E131" si="3">(C68/C67)-1</f>
        <v>-4.0554056956543238E-4</v>
      </c>
    </row>
    <row r="69" spans="1:5" x14ac:dyDescent="0.25">
      <c r="A69" s="45">
        <v>43719</v>
      </c>
      <c r="B69">
        <v>290.69000199999999</v>
      </c>
      <c r="C69">
        <v>8169.6801759999998</v>
      </c>
      <c r="D69" s="13">
        <f t="shared" si="2"/>
        <v>-2.1245784511784493E-2</v>
      </c>
      <c r="E69" s="13">
        <f t="shared" si="3"/>
        <v>1.0578714220119467E-2</v>
      </c>
    </row>
    <row r="70" spans="1:5" x14ac:dyDescent="0.25">
      <c r="A70" s="45">
        <v>43720</v>
      </c>
      <c r="B70">
        <v>289.89001500000001</v>
      </c>
      <c r="C70">
        <v>8194.4697269999997</v>
      </c>
      <c r="D70" s="13">
        <f t="shared" si="2"/>
        <v>-2.7520279146029392E-3</v>
      </c>
      <c r="E70" s="13">
        <f t="shared" si="3"/>
        <v>3.0343355512034709E-3</v>
      </c>
    </row>
    <row r="71" spans="1:5" x14ac:dyDescent="0.25">
      <c r="A71" s="45">
        <v>43721</v>
      </c>
      <c r="B71">
        <v>291.89999399999999</v>
      </c>
      <c r="C71">
        <v>8176.7099609999996</v>
      </c>
      <c r="D71" s="13">
        <f t="shared" si="2"/>
        <v>6.9335916933874753E-3</v>
      </c>
      <c r="E71" s="13">
        <f t="shared" si="3"/>
        <v>-2.1672867911737281E-3</v>
      </c>
    </row>
    <row r="72" spans="1:5" x14ac:dyDescent="0.25">
      <c r="A72" s="45">
        <v>43724</v>
      </c>
      <c r="B72">
        <v>288.69000199999999</v>
      </c>
      <c r="C72">
        <v>8153.5400390000004</v>
      </c>
      <c r="D72" s="13">
        <f t="shared" si="2"/>
        <v>-1.0996889571707191E-2</v>
      </c>
      <c r="E72" s="13">
        <f t="shared" si="3"/>
        <v>-2.8336485102824494E-3</v>
      </c>
    </row>
    <row r="73" spans="1:5" x14ac:dyDescent="0.25">
      <c r="A73" s="45">
        <v>43725</v>
      </c>
      <c r="B73">
        <v>291.41000400000001</v>
      </c>
      <c r="C73">
        <v>8186.0200199999999</v>
      </c>
      <c r="D73" s="13">
        <f t="shared" si="2"/>
        <v>9.4218780739072638E-3</v>
      </c>
      <c r="E73" s="13">
        <f t="shared" si="3"/>
        <v>3.9835434479553733E-3</v>
      </c>
    </row>
    <row r="74" spans="1:5" x14ac:dyDescent="0.25">
      <c r="A74" s="45">
        <v>43726</v>
      </c>
      <c r="B74">
        <v>292.42999300000002</v>
      </c>
      <c r="C74">
        <v>8177.3901370000003</v>
      </c>
      <c r="D74" s="13">
        <f t="shared" si="2"/>
        <v>3.5001852578815384E-3</v>
      </c>
      <c r="E74" s="13">
        <f t="shared" si="3"/>
        <v>-1.0542220735980656E-3</v>
      </c>
    </row>
    <row r="75" spans="1:5" x14ac:dyDescent="0.25">
      <c r="A75" s="45">
        <v>43727</v>
      </c>
      <c r="B75">
        <v>287.82998700000002</v>
      </c>
      <c r="C75">
        <v>8182.8798829999996</v>
      </c>
      <c r="D75" s="13">
        <f t="shared" si="2"/>
        <v>-1.5730281127490309E-2</v>
      </c>
      <c r="E75" s="13">
        <f t="shared" si="3"/>
        <v>6.713322842650804E-4</v>
      </c>
    </row>
    <row r="76" spans="1:5" x14ac:dyDescent="0.25">
      <c r="A76" s="45">
        <v>43728</v>
      </c>
      <c r="B76">
        <v>286.35998499999999</v>
      </c>
      <c r="C76">
        <v>8117.669922</v>
      </c>
      <c r="D76" s="13">
        <f t="shared" si="2"/>
        <v>-5.1071885015233631E-3</v>
      </c>
      <c r="E76" s="13">
        <f t="shared" si="3"/>
        <v>-7.9690722499146105E-3</v>
      </c>
    </row>
    <row r="77" spans="1:5" x14ac:dyDescent="0.25">
      <c r="A77" s="45">
        <v>43731</v>
      </c>
      <c r="B77">
        <v>287.57000699999998</v>
      </c>
      <c r="C77">
        <v>8112.4599609999996</v>
      </c>
      <c r="D77" s="13">
        <f t="shared" si="2"/>
        <v>4.2255275296232409E-3</v>
      </c>
      <c r="E77" s="13">
        <f t="shared" si="3"/>
        <v>-6.4180498222532467E-4</v>
      </c>
    </row>
    <row r="78" spans="1:5" x14ac:dyDescent="0.25">
      <c r="A78" s="45">
        <v>43732</v>
      </c>
      <c r="B78">
        <v>287.91000400000001</v>
      </c>
      <c r="C78">
        <v>7993.6298829999996</v>
      </c>
      <c r="D78" s="13">
        <f t="shared" si="2"/>
        <v>1.1823103652115474E-3</v>
      </c>
      <c r="E78" s="13">
        <f t="shared" si="3"/>
        <v>-1.4647847702332739E-2</v>
      </c>
    </row>
    <row r="79" spans="1:5" x14ac:dyDescent="0.25">
      <c r="A79" s="45">
        <v>43733</v>
      </c>
      <c r="B79">
        <v>288.51001000000002</v>
      </c>
      <c r="C79">
        <v>8077.3798829999996</v>
      </c>
      <c r="D79" s="13">
        <f t="shared" si="2"/>
        <v>2.0840053894064514E-3</v>
      </c>
      <c r="E79" s="13">
        <f t="shared" si="3"/>
        <v>1.0477092538160981E-2</v>
      </c>
    </row>
    <row r="80" spans="1:5" x14ac:dyDescent="0.25">
      <c r="A80" s="45">
        <v>43734</v>
      </c>
      <c r="B80">
        <v>288.26001000000002</v>
      </c>
      <c r="C80">
        <v>8030.6601559999999</v>
      </c>
      <c r="D80" s="13">
        <f t="shared" si="2"/>
        <v>-8.665210610889762E-4</v>
      </c>
      <c r="E80" s="13">
        <f t="shared" si="3"/>
        <v>-5.7840200258908459E-3</v>
      </c>
    </row>
    <row r="81" spans="1:5" x14ac:dyDescent="0.25">
      <c r="A81" s="45">
        <v>43735</v>
      </c>
      <c r="B81">
        <v>285.95001200000002</v>
      </c>
      <c r="C81">
        <v>7939.6298829999996</v>
      </c>
      <c r="D81" s="13">
        <f t="shared" si="2"/>
        <v>-8.0135916182061395E-3</v>
      </c>
      <c r="E81" s="13">
        <f t="shared" si="3"/>
        <v>-1.1335341208778216E-2</v>
      </c>
    </row>
    <row r="82" spans="1:5" x14ac:dyDescent="0.25">
      <c r="A82" s="45">
        <v>43738</v>
      </c>
      <c r="B82">
        <v>288.10998499999999</v>
      </c>
      <c r="C82">
        <v>7999.3398440000001</v>
      </c>
      <c r="D82" s="13">
        <f t="shared" si="2"/>
        <v>7.5536734021888208E-3</v>
      </c>
      <c r="E82" s="13">
        <f t="shared" si="3"/>
        <v>7.5204967838424785E-3</v>
      </c>
    </row>
    <row r="83" spans="1:5" x14ac:dyDescent="0.25">
      <c r="A83" s="45">
        <v>43739</v>
      </c>
      <c r="B83">
        <v>283.92999300000002</v>
      </c>
      <c r="C83">
        <v>7908.6801759999998</v>
      </c>
      <c r="D83" s="13">
        <f t="shared" si="2"/>
        <v>-1.4508320494341698E-2</v>
      </c>
      <c r="E83" s="13">
        <f t="shared" si="3"/>
        <v>-1.1333393725983631E-2</v>
      </c>
    </row>
    <row r="84" spans="1:5" x14ac:dyDescent="0.25">
      <c r="A84" s="45">
        <v>43740</v>
      </c>
      <c r="B84">
        <v>285.10998499999999</v>
      </c>
      <c r="C84">
        <v>7785.25</v>
      </c>
      <c r="D84" s="13">
        <f t="shared" si="2"/>
        <v>4.155925858808418E-3</v>
      </c>
      <c r="E84" s="13">
        <f t="shared" si="3"/>
        <v>-1.5606924702122327E-2</v>
      </c>
    </row>
    <row r="85" spans="1:5" x14ac:dyDescent="0.25">
      <c r="A85" s="45">
        <v>43741</v>
      </c>
      <c r="B85">
        <v>289</v>
      </c>
      <c r="C85">
        <v>7872.2597660000001</v>
      </c>
      <c r="D85" s="13">
        <f t="shared" si="2"/>
        <v>1.3643910086137412E-2</v>
      </c>
      <c r="E85" s="13">
        <f t="shared" si="3"/>
        <v>1.1176232747824422E-2</v>
      </c>
    </row>
    <row r="86" spans="1:5" x14ac:dyDescent="0.25">
      <c r="A86" s="45">
        <v>43742</v>
      </c>
      <c r="B86">
        <v>291.67001299999998</v>
      </c>
      <c r="C86">
        <v>7982.4702150000003</v>
      </c>
      <c r="D86" s="13">
        <f t="shared" si="2"/>
        <v>9.2387993079583453E-3</v>
      </c>
      <c r="E86" s="13">
        <f t="shared" si="3"/>
        <v>1.3999849125405417E-2</v>
      </c>
    </row>
    <row r="87" spans="1:5" x14ac:dyDescent="0.25">
      <c r="A87" s="45">
        <v>43745</v>
      </c>
      <c r="B87">
        <v>293.41000400000001</v>
      </c>
      <c r="C87">
        <v>7956.2900390000004</v>
      </c>
      <c r="D87" s="13">
        <f t="shared" si="2"/>
        <v>5.965614984218659E-3</v>
      </c>
      <c r="E87" s="13">
        <f t="shared" si="3"/>
        <v>-3.2797085732689801E-3</v>
      </c>
    </row>
    <row r="88" spans="1:5" x14ac:dyDescent="0.25">
      <c r="A88" s="45">
        <v>43746</v>
      </c>
      <c r="B88">
        <v>291.89001500000001</v>
      </c>
      <c r="C88">
        <v>7823.7797849999997</v>
      </c>
      <c r="D88" s="13">
        <f t="shared" si="2"/>
        <v>-5.1804266360325757E-3</v>
      </c>
      <c r="E88" s="13">
        <f t="shared" si="3"/>
        <v>-1.665477921876457E-2</v>
      </c>
    </row>
    <row r="89" spans="1:5" x14ac:dyDescent="0.25">
      <c r="A89" s="45">
        <v>43747</v>
      </c>
      <c r="B89">
        <v>296.89999399999999</v>
      </c>
      <c r="C89">
        <v>7903.7402339999999</v>
      </c>
      <c r="D89" s="13">
        <f t="shared" si="2"/>
        <v>1.7163927310086313E-2</v>
      </c>
      <c r="E89" s="13">
        <f t="shared" si="3"/>
        <v>1.0220181446479737E-2</v>
      </c>
    </row>
    <row r="90" spans="1:5" x14ac:dyDescent="0.25">
      <c r="A90" s="45">
        <v>43748</v>
      </c>
      <c r="B90">
        <v>297.14001500000001</v>
      </c>
      <c r="C90">
        <v>7950.7797849999997</v>
      </c>
      <c r="D90" s="13">
        <f t="shared" si="2"/>
        <v>8.0842372802480966E-4</v>
      </c>
      <c r="E90" s="13">
        <f t="shared" si="3"/>
        <v>5.9515557960327925E-3</v>
      </c>
    </row>
    <row r="91" spans="1:5" x14ac:dyDescent="0.25">
      <c r="A91" s="45">
        <v>43749</v>
      </c>
      <c r="B91">
        <v>297.60000600000001</v>
      </c>
      <c r="C91">
        <v>8057.0400390000004</v>
      </c>
      <c r="D91" s="13">
        <f t="shared" si="2"/>
        <v>1.5480614416742977E-3</v>
      </c>
      <c r="E91" s="13">
        <f t="shared" si="3"/>
        <v>1.3364758787618891E-2</v>
      </c>
    </row>
    <row r="92" spans="1:5" x14ac:dyDescent="0.25">
      <c r="A92" s="45">
        <v>43752</v>
      </c>
      <c r="B92">
        <v>297.51998900000001</v>
      </c>
      <c r="C92">
        <v>8048.6499020000001</v>
      </c>
      <c r="D92" s="13">
        <f t="shared" si="2"/>
        <v>-2.6887432253608345E-4</v>
      </c>
      <c r="E92" s="13">
        <f t="shared" si="3"/>
        <v>-1.0413423489753493E-3</v>
      </c>
    </row>
    <row r="93" spans="1:5" x14ac:dyDescent="0.25">
      <c r="A93" s="45">
        <v>43753</v>
      </c>
      <c r="B93">
        <v>298.39001500000001</v>
      </c>
      <c r="C93">
        <v>8148.7099609999996</v>
      </c>
      <c r="D93" s="13">
        <f t="shared" si="2"/>
        <v>2.924260662028999E-3</v>
      </c>
      <c r="E93" s="13">
        <f t="shared" si="3"/>
        <v>1.2431905998934845E-2</v>
      </c>
    </row>
    <row r="94" spans="1:5" x14ac:dyDescent="0.25">
      <c r="A94" s="45">
        <v>43754</v>
      </c>
      <c r="B94">
        <v>298.77999899999998</v>
      </c>
      <c r="C94">
        <v>8124.1801759999998</v>
      </c>
      <c r="D94" s="13">
        <f t="shared" si="2"/>
        <v>1.3069606233304665E-3</v>
      </c>
      <c r="E94" s="13">
        <f t="shared" si="3"/>
        <v>-3.0102660565168859E-3</v>
      </c>
    </row>
    <row r="95" spans="1:5" x14ac:dyDescent="0.25">
      <c r="A95" s="45">
        <v>43755</v>
      </c>
      <c r="B95">
        <v>302.39999399999999</v>
      </c>
      <c r="C95">
        <v>8156.8500979999999</v>
      </c>
      <c r="D95" s="13">
        <f t="shared" si="2"/>
        <v>1.2115921454300516E-2</v>
      </c>
      <c r="E95" s="13">
        <f t="shared" si="3"/>
        <v>4.0213192337255066E-3</v>
      </c>
    </row>
    <row r="96" spans="1:5" x14ac:dyDescent="0.25">
      <c r="A96" s="45">
        <v>43756</v>
      </c>
      <c r="B96">
        <v>302.85998499999999</v>
      </c>
      <c r="C96">
        <v>8089.5400390000004</v>
      </c>
      <c r="D96" s="13">
        <f t="shared" si="2"/>
        <v>1.5211342894405622E-3</v>
      </c>
      <c r="E96" s="13">
        <f t="shared" si="3"/>
        <v>-8.2519671431137143E-3</v>
      </c>
    </row>
    <row r="97" spans="1:5" x14ac:dyDescent="0.25">
      <c r="A97" s="45">
        <v>43759</v>
      </c>
      <c r="B97">
        <v>301.07998700000002</v>
      </c>
      <c r="C97">
        <v>8162.9902339999999</v>
      </c>
      <c r="D97" s="13">
        <f t="shared" si="2"/>
        <v>-5.8772967316893521E-3</v>
      </c>
      <c r="E97" s="13">
        <f t="shared" si="3"/>
        <v>9.0796503442585053E-3</v>
      </c>
    </row>
    <row r="98" spans="1:5" x14ac:dyDescent="0.25">
      <c r="A98" s="45">
        <v>43760</v>
      </c>
      <c r="B98">
        <v>299.97000100000002</v>
      </c>
      <c r="C98">
        <v>8104.2998049999997</v>
      </c>
      <c r="D98" s="13">
        <f t="shared" si="2"/>
        <v>-3.6866814399058034E-3</v>
      </c>
      <c r="E98" s="13">
        <f t="shared" si="3"/>
        <v>-7.1898198230774257E-3</v>
      </c>
    </row>
    <row r="99" spans="1:5" x14ac:dyDescent="0.25">
      <c r="A99" s="45">
        <v>43761</v>
      </c>
      <c r="B99">
        <v>297.32000699999998</v>
      </c>
      <c r="C99">
        <v>8119.7900390000004</v>
      </c>
      <c r="D99" s="13">
        <f t="shared" si="2"/>
        <v>-8.8341967235585628E-3</v>
      </c>
      <c r="E99" s="13">
        <f t="shared" si="3"/>
        <v>1.9113599413540516E-3</v>
      </c>
    </row>
    <row r="100" spans="1:5" x14ac:dyDescent="0.25">
      <c r="A100" s="45">
        <v>43762</v>
      </c>
      <c r="B100">
        <v>297.04998799999998</v>
      </c>
      <c r="C100">
        <v>8185.7998049999997</v>
      </c>
      <c r="D100" s="13">
        <f t="shared" si="2"/>
        <v>-9.0817635424045307E-4</v>
      </c>
      <c r="E100" s="13">
        <f t="shared" si="3"/>
        <v>8.1294917335237304E-3</v>
      </c>
    </row>
    <row r="101" spans="1:5" x14ac:dyDescent="0.25">
      <c r="A101" s="45">
        <v>43763</v>
      </c>
      <c r="B101">
        <v>296.5</v>
      </c>
      <c r="C101">
        <v>8243.1201170000004</v>
      </c>
      <c r="D101" s="13">
        <f t="shared" si="2"/>
        <v>-1.8514998223126966E-3</v>
      </c>
      <c r="E101" s="13">
        <f t="shared" si="3"/>
        <v>7.0024082393254083E-3</v>
      </c>
    </row>
    <row r="102" spans="1:5" x14ac:dyDescent="0.25">
      <c r="A102" s="45">
        <v>43766</v>
      </c>
      <c r="B102">
        <v>298.94000199999999</v>
      </c>
      <c r="C102">
        <v>8325.9902340000008</v>
      </c>
      <c r="D102" s="13">
        <f t="shared" si="2"/>
        <v>8.229349072512715E-3</v>
      </c>
      <c r="E102" s="13">
        <f t="shared" si="3"/>
        <v>1.0053246322238474E-2</v>
      </c>
    </row>
    <row r="103" spans="1:5" x14ac:dyDescent="0.25">
      <c r="A103" s="45">
        <v>43767</v>
      </c>
      <c r="B103">
        <v>295.85998499999999</v>
      </c>
      <c r="C103">
        <v>8276.8496090000008</v>
      </c>
      <c r="D103" s="13">
        <f t="shared" si="2"/>
        <v>-1.030312764900565E-2</v>
      </c>
      <c r="E103" s="13">
        <f t="shared" si="3"/>
        <v>-5.9020757434148363E-3</v>
      </c>
    </row>
    <row r="104" spans="1:5" x14ac:dyDescent="0.25">
      <c r="A104" s="45">
        <v>43768</v>
      </c>
      <c r="B104">
        <v>299.83999599999999</v>
      </c>
      <c r="C104">
        <v>8303.9804690000001</v>
      </c>
      <c r="D104" s="13">
        <f t="shared" si="2"/>
        <v>1.3452346386078506E-2</v>
      </c>
      <c r="E104" s="13">
        <f t="shared" si="3"/>
        <v>3.2779211030362632E-3</v>
      </c>
    </row>
    <row r="105" spans="1:5" x14ac:dyDescent="0.25">
      <c r="A105" s="45">
        <v>43769</v>
      </c>
      <c r="B105">
        <v>297.10998499999999</v>
      </c>
      <c r="C105">
        <v>8292.3603519999997</v>
      </c>
      <c r="D105" s="13">
        <f t="shared" si="2"/>
        <v>-9.1048927308550187E-3</v>
      </c>
      <c r="E105" s="13">
        <f t="shared" si="3"/>
        <v>-1.3993430070530222E-3</v>
      </c>
    </row>
    <row r="106" spans="1:5" x14ac:dyDescent="0.25">
      <c r="A106" s="45">
        <v>43770</v>
      </c>
      <c r="B106">
        <v>296.08999599999999</v>
      </c>
      <c r="C106">
        <v>8386.4003909999992</v>
      </c>
      <c r="D106" s="13">
        <f t="shared" si="2"/>
        <v>-3.4330350762193929E-3</v>
      </c>
      <c r="E106" s="13">
        <f t="shared" si="3"/>
        <v>1.1340563483510202E-2</v>
      </c>
    </row>
    <row r="107" spans="1:5" x14ac:dyDescent="0.25">
      <c r="A107" s="45">
        <v>43773</v>
      </c>
      <c r="B107">
        <v>296.82000699999998</v>
      </c>
      <c r="C107">
        <v>8433.2001949999994</v>
      </c>
      <c r="D107" s="13">
        <f t="shared" si="2"/>
        <v>2.4655037652807632E-3</v>
      </c>
      <c r="E107" s="13">
        <f t="shared" si="3"/>
        <v>5.5804399763961232E-3</v>
      </c>
    </row>
    <row r="108" spans="1:5" x14ac:dyDescent="0.25">
      <c r="A108" s="45">
        <v>43774</v>
      </c>
      <c r="B108">
        <v>299.17999300000002</v>
      </c>
      <c r="C108">
        <v>8434.6796880000002</v>
      </c>
      <c r="D108" s="13">
        <f t="shared" si="2"/>
        <v>7.9508993475634337E-3</v>
      </c>
      <c r="E108" s="13">
        <f t="shared" si="3"/>
        <v>1.7543672221576045E-4</v>
      </c>
    </row>
    <row r="109" spans="1:5" x14ac:dyDescent="0.25">
      <c r="A109" s="45">
        <v>43775</v>
      </c>
      <c r="B109">
        <v>301.57000699999998</v>
      </c>
      <c r="C109">
        <v>8410.6298829999996</v>
      </c>
      <c r="D109" s="13">
        <f t="shared" si="2"/>
        <v>7.9885488866895393E-3</v>
      </c>
      <c r="E109" s="13">
        <f t="shared" si="3"/>
        <v>-2.8513003326274822E-3</v>
      </c>
    </row>
    <row r="110" spans="1:5" x14ac:dyDescent="0.25">
      <c r="A110" s="45">
        <v>43776</v>
      </c>
      <c r="B110">
        <v>305.209991</v>
      </c>
      <c r="C110">
        <v>8434.5195309999999</v>
      </c>
      <c r="D110" s="13">
        <f t="shared" si="2"/>
        <v>1.2070112794738241E-2</v>
      </c>
      <c r="E110" s="13">
        <f t="shared" si="3"/>
        <v>2.8404112810014315E-3</v>
      </c>
    </row>
    <row r="111" spans="1:5" x14ac:dyDescent="0.25">
      <c r="A111" s="45">
        <v>43777</v>
      </c>
      <c r="B111">
        <v>302.61999500000002</v>
      </c>
      <c r="C111">
        <v>8475.3095699999994</v>
      </c>
      <c r="D111" s="13">
        <f t="shared" si="2"/>
        <v>-8.4859476307247439E-3</v>
      </c>
      <c r="E111" s="13">
        <f t="shared" si="3"/>
        <v>4.8360832943810106E-3</v>
      </c>
    </row>
    <row r="112" spans="1:5" x14ac:dyDescent="0.25">
      <c r="A112" s="45">
        <v>43780</v>
      </c>
      <c r="B112">
        <v>300.83999599999999</v>
      </c>
      <c r="C112">
        <v>8464.2802730000003</v>
      </c>
      <c r="D112" s="13">
        <f t="shared" si="2"/>
        <v>-5.8819609722088328E-3</v>
      </c>
      <c r="E112" s="13">
        <f t="shared" si="3"/>
        <v>-1.3013444416283271E-3</v>
      </c>
    </row>
    <row r="113" spans="1:5" x14ac:dyDescent="0.25">
      <c r="A113" s="45">
        <v>43781</v>
      </c>
      <c r="B113">
        <v>300.5</v>
      </c>
      <c r="C113">
        <v>8486.0898440000001</v>
      </c>
      <c r="D113" s="13">
        <f t="shared" si="2"/>
        <v>-1.1301555794462903E-3</v>
      </c>
      <c r="E113" s="13">
        <f t="shared" si="3"/>
        <v>2.5766598336269819E-3</v>
      </c>
    </row>
    <row r="114" spans="1:5" x14ac:dyDescent="0.25">
      <c r="A114" s="45">
        <v>43782</v>
      </c>
      <c r="B114">
        <v>302.89999399999999</v>
      </c>
      <c r="C114">
        <v>8482.0996090000008</v>
      </c>
      <c r="D114" s="13">
        <f t="shared" si="2"/>
        <v>7.9866688851912837E-3</v>
      </c>
      <c r="E114" s="13">
        <f t="shared" si="3"/>
        <v>-4.7020890343518751E-4</v>
      </c>
    </row>
    <row r="115" spans="1:5" x14ac:dyDescent="0.25">
      <c r="A115" s="45">
        <v>43783</v>
      </c>
      <c r="B115">
        <v>304.58999599999999</v>
      </c>
      <c r="C115">
        <v>8479.0195309999999</v>
      </c>
      <c r="D115" s="13">
        <f t="shared" si="2"/>
        <v>5.5794058549898384E-3</v>
      </c>
      <c r="E115" s="13">
        <f t="shared" si="3"/>
        <v>-3.6312683674832869E-4</v>
      </c>
    </row>
    <row r="116" spans="1:5" x14ac:dyDescent="0.25">
      <c r="A116" s="45">
        <v>43784</v>
      </c>
      <c r="B116">
        <v>303.66000400000001</v>
      </c>
      <c r="C116">
        <v>8540.8300780000009</v>
      </c>
      <c r="D116" s="13">
        <f t="shared" si="2"/>
        <v>-3.0532585187070804E-3</v>
      </c>
      <c r="E116" s="13">
        <f t="shared" si="3"/>
        <v>7.2898224581292581E-3</v>
      </c>
    </row>
    <row r="117" spans="1:5" x14ac:dyDescent="0.25">
      <c r="A117" s="45">
        <v>43787</v>
      </c>
      <c r="B117">
        <v>304.540009</v>
      </c>
      <c r="C117">
        <v>8549.9404300000006</v>
      </c>
      <c r="D117" s="13">
        <f t="shared" si="2"/>
        <v>2.8979944293223703E-3</v>
      </c>
      <c r="E117" s="13">
        <f t="shared" si="3"/>
        <v>1.0666822682103838E-3</v>
      </c>
    </row>
    <row r="118" spans="1:5" x14ac:dyDescent="0.25">
      <c r="A118" s="45">
        <v>43788</v>
      </c>
      <c r="B118">
        <v>302.23998999999998</v>
      </c>
      <c r="C118">
        <v>8570.6601559999999</v>
      </c>
      <c r="D118" s="13">
        <f t="shared" si="2"/>
        <v>-7.5524362383532218E-3</v>
      </c>
      <c r="E118" s="13">
        <f t="shared" si="3"/>
        <v>2.4233766503563015E-3</v>
      </c>
    </row>
    <row r="119" spans="1:5" x14ac:dyDescent="0.25">
      <c r="A119" s="45">
        <v>43789</v>
      </c>
      <c r="B119">
        <v>300.57000699999998</v>
      </c>
      <c r="C119">
        <v>8526.7304690000001</v>
      </c>
      <c r="D119" s="13">
        <f t="shared" si="2"/>
        <v>-5.5253542061062255E-3</v>
      </c>
      <c r="E119" s="13">
        <f t="shared" si="3"/>
        <v>-5.1255896512529819E-3</v>
      </c>
    </row>
    <row r="120" spans="1:5" x14ac:dyDescent="0.25">
      <c r="A120" s="45">
        <v>43790</v>
      </c>
      <c r="B120">
        <v>300.26998900000001</v>
      </c>
      <c r="C120">
        <v>8506.2099610000005</v>
      </c>
      <c r="D120" s="13">
        <f t="shared" si="2"/>
        <v>-9.9816346612380258E-4</v>
      </c>
      <c r="E120" s="13">
        <f t="shared" si="3"/>
        <v>-2.4066092008659945E-3</v>
      </c>
    </row>
    <row r="121" spans="1:5" x14ac:dyDescent="0.25">
      <c r="A121" s="45">
        <v>43791</v>
      </c>
      <c r="B121">
        <v>299.30999800000001</v>
      </c>
      <c r="C121">
        <v>8519.8798829999996</v>
      </c>
      <c r="D121" s="13">
        <f t="shared" si="2"/>
        <v>-3.197092733766338E-3</v>
      </c>
      <c r="E121" s="13">
        <f t="shared" si="3"/>
        <v>1.6070520317126302E-3</v>
      </c>
    </row>
    <row r="122" spans="1:5" x14ac:dyDescent="0.25">
      <c r="A122" s="45">
        <v>43794</v>
      </c>
      <c r="B122">
        <v>299.04998799999998</v>
      </c>
      <c r="C122">
        <v>8632.4902340000008</v>
      </c>
      <c r="D122" s="13">
        <f t="shared" si="2"/>
        <v>-8.6869801121713941E-4</v>
      </c>
      <c r="E122" s="13">
        <f t="shared" si="3"/>
        <v>1.321736368897608E-2</v>
      </c>
    </row>
    <row r="123" spans="1:5" x14ac:dyDescent="0.25">
      <c r="A123" s="45">
        <v>43795</v>
      </c>
      <c r="B123">
        <v>301.23998999999998</v>
      </c>
      <c r="C123">
        <v>8647.9296880000002</v>
      </c>
      <c r="D123" s="13">
        <f t="shared" si="2"/>
        <v>7.3231970836928895E-3</v>
      </c>
      <c r="E123" s="13">
        <f t="shared" si="3"/>
        <v>1.7885284062284512E-3</v>
      </c>
    </row>
    <row r="124" spans="1:5" x14ac:dyDescent="0.25">
      <c r="A124" s="45">
        <v>43796</v>
      </c>
      <c r="B124">
        <v>300.76001000000002</v>
      </c>
      <c r="C124">
        <v>8705.1796880000002</v>
      </c>
      <c r="D124" s="13">
        <f t="shared" si="2"/>
        <v>-1.5933475499051442E-3</v>
      </c>
      <c r="E124" s="13">
        <f t="shared" si="3"/>
        <v>6.6200815762229581E-3</v>
      </c>
    </row>
    <row r="125" spans="1:5" x14ac:dyDescent="0.25">
      <c r="A125" s="45">
        <v>43798</v>
      </c>
      <c r="B125">
        <v>299.80999800000001</v>
      </c>
      <c r="C125">
        <v>8665.4697269999997</v>
      </c>
      <c r="D125" s="13">
        <f t="shared" si="2"/>
        <v>-3.1587045099513711E-3</v>
      </c>
      <c r="E125" s="13">
        <f t="shared" si="3"/>
        <v>-4.5616474815264318E-3</v>
      </c>
    </row>
    <row r="126" spans="1:5" x14ac:dyDescent="0.25">
      <c r="A126" s="45">
        <v>43801</v>
      </c>
      <c r="B126">
        <v>297.39001500000001</v>
      </c>
      <c r="C126">
        <v>8567.9902340000008</v>
      </c>
      <c r="D126" s="13">
        <f t="shared" si="2"/>
        <v>-8.0717221445030241E-3</v>
      </c>
      <c r="E126" s="13">
        <f t="shared" si="3"/>
        <v>-1.1249187415226958E-2</v>
      </c>
    </row>
    <row r="127" spans="1:5" x14ac:dyDescent="0.25">
      <c r="A127" s="45">
        <v>43802</v>
      </c>
      <c r="B127">
        <v>295.67001299999998</v>
      </c>
      <c r="C127">
        <v>8520.6396480000003</v>
      </c>
      <c r="D127" s="13">
        <f t="shared" si="2"/>
        <v>-5.7836575313398031E-3</v>
      </c>
      <c r="E127" s="13">
        <f t="shared" si="3"/>
        <v>-5.5264519107527388E-3</v>
      </c>
    </row>
    <row r="128" spans="1:5" x14ac:dyDescent="0.25">
      <c r="A128" s="45">
        <v>43803</v>
      </c>
      <c r="B128">
        <v>296.51998900000001</v>
      </c>
      <c r="C128">
        <v>8566.6699219999991</v>
      </c>
      <c r="D128" s="13">
        <f t="shared" si="2"/>
        <v>2.8747453668898082E-3</v>
      </c>
      <c r="E128" s="13">
        <f t="shared" si="3"/>
        <v>5.4022087427207932E-3</v>
      </c>
    </row>
    <row r="129" spans="1:5" x14ac:dyDescent="0.25">
      <c r="A129" s="45">
        <v>43804</v>
      </c>
      <c r="B129">
        <v>293.10000600000001</v>
      </c>
      <c r="C129">
        <v>8570.7001949999994</v>
      </c>
      <c r="D129" s="13">
        <f t="shared" si="2"/>
        <v>-1.1533735083202101E-2</v>
      </c>
      <c r="E129" s="13">
        <f t="shared" si="3"/>
        <v>4.7045970449377528E-4</v>
      </c>
    </row>
    <row r="130" spans="1:5" x14ac:dyDescent="0.25">
      <c r="A130" s="45">
        <v>43805</v>
      </c>
      <c r="B130">
        <v>294.95001200000002</v>
      </c>
      <c r="C130">
        <v>8656.5302730000003</v>
      </c>
      <c r="D130" s="13">
        <f t="shared" si="2"/>
        <v>6.3118593044313442E-3</v>
      </c>
      <c r="E130" s="13">
        <f t="shared" si="3"/>
        <v>1.0014360092781338E-2</v>
      </c>
    </row>
    <row r="131" spans="1:5" x14ac:dyDescent="0.25">
      <c r="A131" s="45">
        <v>43808</v>
      </c>
      <c r="B131">
        <v>295.16000400000001</v>
      </c>
      <c r="C131">
        <v>8621.8300780000009</v>
      </c>
      <c r="D131" s="13">
        <f t="shared" si="2"/>
        <v>7.1195793001010976E-4</v>
      </c>
      <c r="E131" s="13">
        <f t="shared" si="3"/>
        <v>-4.0085569975109037E-3</v>
      </c>
    </row>
    <row r="132" spans="1:5" x14ac:dyDescent="0.25">
      <c r="A132" s="45">
        <v>43809</v>
      </c>
      <c r="B132">
        <v>295.77999899999998</v>
      </c>
      <c r="C132">
        <v>8616.1796880000002</v>
      </c>
      <c r="D132" s="13">
        <f t="shared" ref="D132:D195" si="4">(B132/B131)-1</f>
        <v>2.1005386624128874E-3</v>
      </c>
      <c r="E132" s="13">
        <f t="shared" ref="E132:E195" si="5">(C132/C131)-1</f>
        <v>-6.5535854324227927E-4</v>
      </c>
    </row>
    <row r="133" spans="1:5" x14ac:dyDescent="0.25">
      <c r="A133" s="45">
        <v>43810</v>
      </c>
      <c r="B133">
        <v>295.29998799999998</v>
      </c>
      <c r="C133">
        <v>8654.0498050000006</v>
      </c>
      <c r="D133" s="13">
        <f t="shared" si="4"/>
        <v>-1.6228649726920397E-3</v>
      </c>
      <c r="E133" s="13">
        <f t="shared" si="5"/>
        <v>4.395232965341167E-3</v>
      </c>
    </row>
    <row r="134" spans="1:5" x14ac:dyDescent="0.25">
      <c r="A134" s="45">
        <v>43811</v>
      </c>
      <c r="B134">
        <v>297.33999599999999</v>
      </c>
      <c r="C134">
        <v>8717.3203130000002</v>
      </c>
      <c r="D134" s="13">
        <f t="shared" si="4"/>
        <v>6.9082562915647738E-3</v>
      </c>
      <c r="E134" s="13">
        <f t="shared" si="5"/>
        <v>7.3110866502574812E-3</v>
      </c>
    </row>
    <row r="135" spans="1:5" x14ac:dyDescent="0.25">
      <c r="A135" s="45">
        <v>43812</v>
      </c>
      <c r="B135">
        <v>291.86999500000002</v>
      </c>
      <c r="C135">
        <v>8734.8798829999996</v>
      </c>
      <c r="D135" s="13">
        <f t="shared" si="4"/>
        <v>-1.8396452120756579E-2</v>
      </c>
      <c r="E135" s="13">
        <f t="shared" si="5"/>
        <v>2.0143311670919317E-3</v>
      </c>
    </row>
    <row r="136" spans="1:5" x14ac:dyDescent="0.25">
      <c r="A136" s="45">
        <v>43815</v>
      </c>
      <c r="B136">
        <v>293.5</v>
      </c>
      <c r="C136">
        <v>8814.2304690000001</v>
      </c>
      <c r="D136" s="13">
        <f t="shared" si="4"/>
        <v>5.5846953367029162E-3</v>
      </c>
      <c r="E136" s="13">
        <f t="shared" si="5"/>
        <v>9.0843362545183215E-3</v>
      </c>
    </row>
    <row r="137" spans="1:5" x14ac:dyDescent="0.25">
      <c r="A137" s="45">
        <v>43816</v>
      </c>
      <c r="B137">
        <v>295.54998799999998</v>
      </c>
      <c r="C137">
        <v>8823.3603519999997</v>
      </c>
      <c r="D137" s="13">
        <f t="shared" si="4"/>
        <v>6.9846269165245722E-3</v>
      </c>
      <c r="E137" s="13">
        <f t="shared" si="5"/>
        <v>1.0358116947486451E-3</v>
      </c>
    </row>
    <row r="138" spans="1:5" x14ac:dyDescent="0.25">
      <c r="A138" s="45">
        <v>43817</v>
      </c>
      <c r="B138">
        <v>291.86999500000002</v>
      </c>
      <c r="C138">
        <v>8827.7402340000008</v>
      </c>
      <c r="D138" s="13">
        <f t="shared" si="4"/>
        <v>-1.2451338688601044E-2</v>
      </c>
      <c r="E138" s="13">
        <f t="shared" si="5"/>
        <v>4.9639613766983004E-4</v>
      </c>
    </row>
    <row r="139" spans="1:5" x14ac:dyDescent="0.25">
      <c r="A139" s="45">
        <v>43818</v>
      </c>
      <c r="B139">
        <v>293.709991</v>
      </c>
      <c r="C139">
        <v>8887.2197269999997</v>
      </c>
      <c r="D139" s="13">
        <f t="shared" si="4"/>
        <v>6.3041629202069682E-3</v>
      </c>
      <c r="E139" s="13">
        <f t="shared" si="5"/>
        <v>6.7377937528014797E-3</v>
      </c>
    </row>
    <row r="140" spans="1:5" x14ac:dyDescent="0.25">
      <c r="A140" s="45">
        <v>43819</v>
      </c>
      <c r="B140">
        <v>294.82998700000002</v>
      </c>
      <c r="C140">
        <v>8924.9599610000005</v>
      </c>
      <c r="D140" s="13">
        <f t="shared" si="4"/>
        <v>3.8132717112779879E-3</v>
      </c>
      <c r="E140" s="13">
        <f t="shared" si="5"/>
        <v>4.2465737496444333E-3</v>
      </c>
    </row>
    <row r="141" spans="1:5" x14ac:dyDescent="0.25">
      <c r="A141" s="45">
        <v>43822</v>
      </c>
      <c r="B141">
        <v>293.30999800000001</v>
      </c>
      <c r="C141">
        <v>8945.6503909999992</v>
      </c>
      <c r="D141" s="13">
        <f t="shared" si="4"/>
        <v>-5.1554762643597485E-3</v>
      </c>
      <c r="E141" s="13">
        <f t="shared" si="5"/>
        <v>2.3182658623019936E-3</v>
      </c>
    </row>
    <row r="142" spans="1:5" x14ac:dyDescent="0.25">
      <c r="A142" s="45">
        <v>43823</v>
      </c>
      <c r="B142">
        <v>294.23001099999999</v>
      </c>
      <c r="C142">
        <v>8952.8798829999996</v>
      </c>
      <c r="D142" s="13">
        <f t="shared" si="4"/>
        <v>3.1366574827769167E-3</v>
      </c>
      <c r="E142" s="13">
        <f t="shared" si="5"/>
        <v>8.0815722546834223E-4</v>
      </c>
    </row>
    <row r="143" spans="1:5" x14ac:dyDescent="0.25">
      <c r="A143" s="45">
        <v>43825</v>
      </c>
      <c r="B143">
        <v>295.73001099999999</v>
      </c>
      <c r="C143">
        <v>9022.3896480000003</v>
      </c>
      <c r="D143" s="13">
        <f t="shared" si="4"/>
        <v>5.0980523533339372E-3</v>
      </c>
      <c r="E143" s="13">
        <f t="shared" si="5"/>
        <v>7.7639559458391183E-3</v>
      </c>
    </row>
    <row r="144" spans="1:5" x14ac:dyDescent="0.25">
      <c r="A144" s="45">
        <v>43826</v>
      </c>
      <c r="B144">
        <v>294.10998499999999</v>
      </c>
      <c r="C144">
        <v>9006.6201170000004</v>
      </c>
      <c r="D144" s="13">
        <f t="shared" si="4"/>
        <v>-5.4780574839934371E-3</v>
      </c>
      <c r="E144" s="13">
        <f t="shared" si="5"/>
        <v>-1.7478219867721467E-3</v>
      </c>
    </row>
    <row r="145" spans="1:5" x14ac:dyDescent="0.25">
      <c r="A145" s="45">
        <v>43829</v>
      </c>
      <c r="B145">
        <v>295.14001500000001</v>
      </c>
      <c r="C145">
        <v>8945.9902340000008</v>
      </c>
      <c r="D145" s="13">
        <f t="shared" si="4"/>
        <v>3.502193235636053E-3</v>
      </c>
      <c r="E145" s="13">
        <f t="shared" si="5"/>
        <v>-6.7317020383218518E-3</v>
      </c>
    </row>
    <row r="146" spans="1:5" x14ac:dyDescent="0.25">
      <c r="A146" s="45">
        <v>43830</v>
      </c>
      <c r="B146">
        <v>293.92001299999998</v>
      </c>
      <c r="C146">
        <v>8972.5996090000008</v>
      </c>
      <c r="D146" s="13">
        <f t="shared" si="4"/>
        <v>-4.1336380632766012E-3</v>
      </c>
      <c r="E146" s="13">
        <f t="shared" si="5"/>
        <v>2.9744471326236255E-3</v>
      </c>
    </row>
    <row r="147" spans="1:5" x14ac:dyDescent="0.25">
      <c r="A147" s="45">
        <v>43832</v>
      </c>
      <c r="B147">
        <v>291.48998999999998</v>
      </c>
      <c r="C147">
        <v>9092.1904300000006</v>
      </c>
      <c r="D147" s="13">
        <f t="shared" si="4"/>
        <v>-8.2676336844065279E-3</v>
      </c>
      <c r="E147" s="13">
        <f t="shared" si="5"/>
        <v>1.3328447296371504E-2</v>
      </c>
    </row>
    <row r="148" spans="1:5" x14ac:dyDescent="0.25">
      <c r="A148" s="45">
        <v>43833</v>
      </c>
      <c r="B148">
        <v>291.73001099999999</v>
      </c>
      <c r="C148">
        <v>9020.7695309999999</v>
      </c>
      <c r="D148" s="13">
        <f t="shared" si="4"/>
        <v>8.2342793315137719E-4</v>
      </c>
      <c r="E148" s="13">
        <f t="shared" si="5"/>
        <v>-7.855191721935828E-3</v>
      </c>
    </row>
    <row r="149" spans="1:5" x14ac:dyDescent="0.25">
      <c r="A149" s="45">
        <v>43836</v>
      </c>
      <c r="B149">
        <v>291.80999800000001</v>
      </c>
      <c r="C149">
        <v>9071.4697269999997</v>
      </c>
      <c r="D149" s="13">
        <f t="shared" si="4"/>
        <v>2.7418159594150282E-4</v>
      </c>
      <c r="E149" s="13">
        <f t="shared" si="5"/>
        <v>5.6203848048403948E-3</v>
      </c>
    </row>
    <row r="150" spans="1:5" x14ac:dyDescent="0.25">
      <c r="A150" s="45">
        <v>43837</v>
      </c>
      <c r="B150">
        <v>291.35000600000001</v>
      </c>
      <c r="C150">
        <v>9068.5800780000009</v>
      </c>
      <c r="D150" s="13">
        <f t="shared" si="4"/>
        <v>-1.5763407804827434E-3</v>
      </c>
      <c r="E150" s="13">
        <f t="shared" si="5"/>
        <v>-3.18542539077038E-4</v>
      </c>
    </row>
    <row r="151" spans="1:5" x14ac:dyDescent="0.25">
      <c r="A151" s="45">
        <v>43838</v>
      </c>
      <c r="B151">
        <v>294.69000199999999</v>
      </c>
      <c r="C151">
        <v>9129.2402340000008</v>
      </c>
      <c r="D151" s="13">
        <f t="shared" si="4"/>
        <v>1.1463861099079597E-2</v>
      </c>
      <c r="E151" s="13">
        <f t="shared" si="5"/>
        <v>6.6890467392088926E-3</v>
      </c>
    </row>
    <row r="152" spans="1:5" x14ac:dyDescent="0.25">
      <c r="A152" s="45">
        <v>43839</v>
      </c>
      <c r="B152">
        <v>299.42001299999998</v>
      </c>
      <c r="C152">
        <v>9203.4296880000002</v>
      </c>
      <c r="D152" s="13">
        <f t="shared" si="4"/>
        <v>1.6050802429327105E-2</v>
      </c>
      <c r="E152" s="13">
        <f t="shared" si="5"/>
        <v>8.1265748406638139E-3</v>
      </c>
    </row>
    <row r="153" spans="1:5" x14ac:dyDescent="0.25">
      <c r="A153" s="45">
        <v>43840</v>
      </c>
      <c r="B153">
        <v>297.23998999999998</v>
      </c>
      <c r="C153">
        <v>9178.8603519999997</v>
      </c>
      <c r="D153" s="13">
        <f t="shared" si="4"/>
        <v>-7.2808192684168382E-3</v>
      </c>
      <c r="E153" s="13">
        <f t="shared" si="5"/>
        <v>-2.6695847996791588E-3</v>
      </c>
    </row>
    <row r="154" spans="1:5" x14ac:dyDescent="0.25">
      <c r="A154" s="45">
        <v>43843</v>
      </c>
      <c r="B154">
        <v>299.86999500000002</v>
      </c>
      <c r="C154">
        <v>9273.9296880000002</v>
      </c>
      <c r="D154" s="13">
        <f t="shared" si="4"/>
        <v>8.8480860196504807E-3</v>
      </c>
      <c r="E154" s="13">
        <f t="shared" si="5"/>
        <v>1.0357422637907954E-2</v>
      </c>
    </row>
    <row r="155" spans="1:5" x14ac:dyDescent="0.25">
      <c r="A155" s="45">
        <v>43844</v>
      </c>
      <c r="B155">
        <v>299.75</v>
      </c>
      <c r="C155">
        <v>9251.3300780000009</v>
      </c>
      <c r="D155" s="13">
        <f t="shared" si="4"/>
        <v>-4.0015674125726264E-4</v>
      </c>
      <c r="E155" s="13">
        <f t="shared" si="5"/>
        <v>-2.4368968452760376E-3</v>
      </c>
    </row>
    <row r="156" spans="1:5" x14ac:dyDescent="0.25">
      <c r="A156" s="45">
        <v>43845</v>
      </c>
      <c r="B156">
        <v>300.82000699999998</v>
      </c>
      <c r="C156">
        <v>9258.7001949999994</v>
      </c>
      <c r="D156" s="13">
        <f t="shared" si="4"/>
        <v>3.5696647206004961E-3</v>
      </c>
      <c r="E156" s="13">
        <f t="shared" si="5"/>
        <v>7.9665485263835656E-4</v>
      </c>
    </row>
    <row r="157" spans="1:5" x14ac:dyDescent="0.25">
      <c r="A157" s="45">
        <v>43846</v>
      </c>
      <c r="B157">
        <v>303.02999899999998</v>
      </c>
      <c r="C157">
        <v>9357.1298829999996</v>
      </c>
      <c r="D157" s="13">
        <f t="shared" si="4"/>
        <v>7.3465592333423757E-3</v>
      </c>
      <c r="E157" s="13">
        <f t="shared" si="5"/>
        <v>1.0631048195421045E-2</v>
      </c>
    </row>
    <row r="158" spans="1:5" x14ac:dyDescent="0.25">
      <c r="A158" s="45">
        <v>43847</v>
      </c>
      <c r="B158">
        <v>304.67999300000002</v>
      </c>
      <c r="C158">
        <v>9388.9404300000006</v>
      </c>
      <c r="D158" s="13">
        <f t="shared" si="4"/>
        <v>5.4449856629543714E-3</v>
      </c>
      <c r="E158" s="13">
        <f t="shared" si="5"/>
        <v>3.3996051564695318E-3</v>
      </c>
    </row>
    <row r="159" spans="1:5" x14ac:dyDescent="0.25">
      <c r="A159" s="45">
        <v>43851</v>
      </c>
      <c r="B159">
        <v>313.26001000000002</v>
      </c>
      <c r="C159">
        <v>9370.8095699999994</v>
      </c>
      <c r="D159" s="13">
        <f t="shared" si="4"/>
        <v>2.8160749629530191E-2</v>
      </c>
      <c r="E159" s="13">
        <f t="shared" si="5"/>
        <v>-1.9310869139257392E-3</v>
      </c>
    </row>
    <row r="160" spans="1:5" x14ac:dyDescent="0.25">
      <c r="A160" s="45">
        <v>43852</v>
      </c>
      <c r="B160">
        <v>311.89001500000001</v>
      </c>
      <c r="C160">
        <v>9383.7695309999999</v>
      </c>
      <c r="D160" s="13">
        <f t="shared" si="4"/>
        <v>-4.3733478780135782E-3</v>
      </c>
      <c r="E160" s="13">
        <f t="shared" si="5"/>
        <v>1.3830140184996065E-3</v>
      </c>
    </row>
    <row r="161" spans="1:5" x14ac:dyDescent="0.25">
      <c r="A161" s="45">
        <v>43853</v>
      </c>
      <c r="B161">
        <v>312.88000499999998</v>
      </c>
      <c r="C161">
        <v>9402.4804690000001</v>
      </c>
      <c r="D161" s="13">
        <f t="shared" si="4"/>
        <v>3.1741638154076934E-3</v>
      </c>
      <c r="E161" s="13">
        <f t="shared" si="5"/>
        <v>1.9939681956369082E-3</v>
      </c>
    </row>
    <row r="162" spans="1:5" x14ac:dyDescent="0.25">
      <c r="A162" s="45">
        <v>43854</v>
      </c>
      <c r="B162">
        <v>310.51001000000002</v>
      </c>
      <c r="C162">
        <v>9314.9101559999999</v>
      </c>
      <c r="D162" s="13">
        <f t="shared" si="4"/>
        <v>-7.5747729548903964E-3</v>
      </c>
      <c r="E162" s="13">
        <f t="shared" si="5"/>
        <v>-9.3135330925407933E-3</v>
      </c>
    </row>
    <row r="163" spans="1:5" x14ac:dyDescent="0.25">
      <c r="A163" s="45">
        <v>43857</v>
      </c>
      <c r="B163">
        <v>309.45001200000002</v>
      </c>
      <c r="C163">
        <v>9139.3095699999994</v>
      </c>
      <c r="D163" s="13">
        <f t="shared" si="4"/>
        <v>-3.4137321370090179E-3</v>
      </c>
      <c r="E163" s="13">
        <f t="shared" si="5"/>
        <v>-1.8851559817449348E-2</v>
      </c>
    </row>
    <row r="164" spans="1:5" x14ac:dyDescent="0.25">
      <c r="A164" s="45">
        <v>43858</v>
      </c>
      <c r="B164">
        <v>310.85000600000001</v>
      </c>
      <c r="C164">
        <v>9269.6796880000002</v>
      </c>
      <c r="D164" s="13">
        <f t="shared" si="4"/>
        <v>4.5241361955417059E-3</v>
      </c>
      <c r="E164" s="13">
        <f t="shared" si="5"/>
        <v>1.4264766610810886E-2</v>
      </c>
    </row>
    <row r="165" spans="1:5" x14ac:dyDescent="0.25">
      <c r="A165" s="45">
        <v>43859</v>
      </c>
      <c r="B165">
        <v>309.57998700000002</v>
      </c>
      <c r="C165">
        <v>9275.1601559999999</v>
      </c>
      <c r="D165" s="13">
        <f t="shared" si="4"/>
        <v>-4.0856328630728411E-3</v>
      </c>
      <c r="E165" s="13">
        <f t="shared" si="5"/>
        <v>5.9122517546050801E-4</v>
      </c>
    </row>
    <row r="166" spans="1:5" x14ac:dyDescent="0.25">
      <c r="A166" s="45">
        <v>43860</v>
      </c>
      <c r="B166">
        <v>309.47000100000002</v>
      </c>
      <c r="C166">
        <v>9298.9296880000002</v>
      </c>
      <c r="D166" s="13">
        <f t="shared" si="4"/>
        <v>-3.5527490347753155E-4</v>
      </c>
      <c r="E166" s="13">
        <f t="shared" si="5"/>
        <v>2.5627085247281745E-3</v>
      </c>
    </row>
    <row r="167" spans="1:5" x14ac:dyDescent="0.25">
      <c r="A167" s="45">
        <v>43861</v>
      </c>
      <c r="B167">
        <v>305.51998900000001</v>
      </c>
      <c r="C167">
        <v>9150.9404300000006</v>
      </c>
      <c r="D167" s="13">
        <f t="shared" si="4"/>
        <v>-1.2763796126397442E-2</v>
      </c>
      <c r="E167" s="13">
        <f t="shared" si="5"/>
        <v>-1.5914655015724644E-2</v>
      </c>
    </row>
    <row r="168" spans="1:5" x14ac:dyDescent="0.25">
      <c r="A168" s="45">
        <v>43864</v>
      </c>
      <c r="B168">
        <v>302</v>
      </c>
      <c r="C168">
        <v>9273.4003909999992</v>
      </c>
      <c r="D168" s="13">
        <f t="shared" si="4"/>
        <v>-1.1521305075721244E-2</v>
      </c>
      <c r="E168" s="13">
        <f t="shared" si="5"/>
        <v>1.338222688004076E-2</v>
      </c>
    </row>
    <row r="169" spans="1:5" x14ac:dyDescent="0.25">
      <c r="A169" s="45">
        <v>43865</v>
      </c>
      <c r="B169">
        <v>304.89999399999999</v>
      </c>
      <c r="C169">
        <v>9467.9697269999997</v>
      </c>
      <c r="D169" s="13">
        <f t="shared" si="4"/>
        <v>9.602629139072727E-3</v>
      </c>
      <c r="E169" s="13">
        <f t="shared" si="5"/>
        <v>2.0981444539894367E-2</v>
      </c>
    </row>
    <row r="170" spans="1:5" x14ac:dyDescent="0.25">
      <c r="A170" s="45">
        <v>43866</v>
      </c>
      <c r="B170">
        <v>308.95001200000002</v>
      </c>
      <c r="C170">
        <v>9508.6796880000002</v>
      </c>
      <c r="D170" s="13">
        <f t="shared" si="4"/>
        <v>1.3283102918001388E-2</v>
      </c>
      <c r="E170" s="13">
        <f t="shared" si="5"/>
        <v>4.2997561434852116E-3</v>
      </c>
    </row>
    <row r="171" spans="1:5" x14ac:dyDescent="0.25">
      <c r="A171" s="45">
        <v>43867</v>
      </c>
      <c r="B171">
        <v>310.60998499999999</v>
      </c>
      <c r="C171">
        <v>9572.1503909999992</v>
      </c>
      <c r="D171" s="13">
        <f t="shared" si="4"/>
        <v>5.3729501068928709E-3</v>
      </c>
      <c r="E171" s="13">
        <f t="shared" si="5"/>
        <v>6.6750279831278014E-3</v>
      </c>
    </row>
    <row r="172" spans="1:5" x14ac:dyDescent="0.25">
      <c r="A172" s="45">
        <v>43868</v>
      </c>
      <c r="B172">
        <v>313.63000499999998</v>
      </c>
      <c r="C172">
        <v>9520.5097659999992</v>
      </c>
      <c r="D172" s="13">
        <f t="shared" si="4"/>
        <v>9.7228683746273248E-3</v>
      </c>
      <c r="E172" s="13">
        <f t="shared" si="5"/>
        <v>-5.3948823295290049E-3</v>
      </c>
    </row>
    <row r="173" spans="1:5" x14ac:dyDescent="0.25">
      <c r="A173" s="45">
        <v>43871</v>
      </c>
      <c r="B173">
        <v>313.790009</v>
      </c>
      <c r="C173">
        <v>9628.3896480000003</v>
      </c>
      <c r="D173" s="13">
        <f t="shared" si="4"/>
        <v>5.1016802426162577E-4</v>
      </c>
      <c r="E173" s="13">
        <f t="shared" si="5"/>
        <v>1.1331313622014783E-2</v>
      </c>
    </row>
    <row r="174" spans="1:5" x14ac:dyDescent="0.25">
      <c r="A174" s="45">
        <v>43872</v>
      </c>
      <c r="B174">
        <v>310.67999300000002</v>
      </c>
      <c r="C174">
        <v>9638.9404300000006</v>
      </c>
      <c r="D174" s="13">
        <f t="shared" si="4"/>
        <v>-9.9111377379768051E-3</v>
      </c>
      <c r="E174" s="13">
        <f t="shared" si="5"/>
        <v>1.0957992339031275E-3</v>
      </c>
    </row>
    <row r="175" spans="1:5" x14ac:dyDescent="0.25">
      <c r="A175" s="45">
        <v>43873</v>
      </c>
      <c r="B175">
        <v>315.11999500000002</v>
      </c>
      <c r="C175">
        <v>9725.9599610000005</v>
      </c>
      <c r="D175" s="13">
        <f t="shared" si="4"/>
        <v>1.4291238895450808E-2</v>
      </c>
      <c r="E175" s="13">
        <f t="shared" si="5"/>
        <v>9.0279145962104401E-3</v>
      </c>
    </row>
    <row r="176" spans="1:5" x14ac:dyDescent="0.25">
      <c r="A176" s="45">
        <v>43874</v>
      </c>
      <c r="B176">
        <v>318.20001200000002</v>
      </c>
      <c r="C176">
        <v>9711.9697269999997</v>
      </c>
      <c r="D176" s="13">
        <f t="shared" si="4"/>
        <v>9.7741084312976678E-3</v>
      </c>
      <c r="E176" s="13">
        <f t="shared" si="5"/>
        <v>-1.4384424834258391E-3</v>
      </c>
    </row>
    <row r="177" spans="1:5" x14ac:dyDescent="0.25">
      <c r="A177" s="45">
        <v>43875</v>
      </c>
      <c r="B177">
        <v>318.30999800000001</v>
      </c>
      <c r="C177">
        <v>9731.1796880000002</v>
      </c>
      <c r="D177" s="13">
        <f t="shared" si="4"/>
        <v>3.4565052122004225E-4</v>
      </c>
      <c r="E177" s="13">
        <f t="shared" si="5"/>
        <v>1.977967553440374E-3</v>
      </c>
    </row>
    <row r="178" spans="1:5" x14ac:dyDescent="0.25">
      <c r="A178" s="45">
        <v>43879</v>
      </c>
      <c r="B178">
        <v>322.04998799999998</v>
      </c>
      <c r="C178">
        <v>9732.7402340000008</v>
      </c>
      <c r="D178" s="13">
        <f t="shared" si="4"/>
        <v>1.1749520981116035E-2</v>
      </c>
      <c r="E178" s="13">
        <f t="shared" si="5"/>
        <v>1.6036555176612843E-4</v>
      </c>
    </row>
    <row r="179" spans="1:5" x14ac:dyDescent="0.25">
      <c r="A179" s="45">
        <v>43880</v>
      </c>
      <c r="B179">
        <v>323.01998900000001</v>
      </c>
      <c r="C179">
        <v>9817.1796880000002</v>
      </c>
      <c r="D179" s="13">
        <f t="shared" si="4"/>
        <v>3.0119578827620952E-3</v>
      </c>
      <c r="E179" s="13">
        <f t="shared" si="5"/>
        <v>8.6758150294632408E-3</v>
      </c>
    </row>
    <row r="180" spans="1:5" x14ac:dyDescent="0.25">
      <c r="A180" s="45">
        <v>43881</v>
      </c>
      <c r="B180">
        <v>324.07998700000002</v>
      </c>
      <c r="C180">
        <v>9750.9697269999997</v>
      </c>
      <c r="D180" s="13">
        <f t="shared" si="4"/>
        <v>3.2815244755641793E-3</v>
      </c>
      <c r="E180" s="13">
        <f t="shared" si="5"/>
        <v>-6.7442955211395317E-3</v>
      </c>
    </row>
    <row r="181" spans="1:5" x14ac:dyDescent="0.25">
      <c r="A181" s="45">
        <v>43882</v>
      </c>
      <c r="B181">
        <v>321.95001200000002</v>
      </c>
      <c r="C181">
        <v>9576.5898440000001</v>
      </c>
      <c r="D181" s="13">
        <f t="shared" si="4"/>
        <v>-6.5723743688005376E-3</v>
      </c>
      <c r="E181" s="13">
        <f t="shared" si="5"/>
        <v>-1.7883337543049604E-2</v>
      </c>
    </row>
    <row r="182" spans="1:5" x14ac:dyDescent="0.25">
      <c r="A182" s="45">
        <v>43885</v>
      </c>
      <c r="B182">
        <v>313.61999500000002</v>
      </c>
      <c r="C182">
        <v>9221.2802730000003</v>
      </c>
      <c r="D182" s="13">
        <f t="shared" si="4"/>
        <v>-2.5873634693326264E-2</v>
      </c>
      <c r="E182" s="13">
        <f t="shared" si="5"/>
        <v>-3.7101888750368794E-2</v>
      </c>
    </row>
    <row r="183" spans="1:5" x14ac:dyDescent="0.25">
      <c r="A183" s="45">
        <v>43886</v>
      </c>
      <c r="B183">
        <v>304.86999500000002</v>
      </c>
      <c r="C183">
        <v>8965.6103519999997</v>
      </c>
      <c r="D183" s="13">
        <f t="shared" si="4"/>
        <v>-2.7900006821950263E-2</v>
      </c>
      <c r="E183" s="13">
        <f t="shared" si="5"/>
        <v>-2.7726076361500929E-2</v>
      </c>
    </row>
    <row r="184" spans="1:5" x14ac:dyDescent="0.25">
      <c r="A184" s="45">
        <v>43887</v>
      </c>
      <c r="B184">
        <v>305.69000199999999</v>
      </c>
      <c r="C184">
        <v>8980.7802730000003</v>
      </c>
      <c r="D184" s="13">
        <f t="shared" si="4"/>
        <v>2.6896940120328949E-3</v>
      </c>
      <c r="E184" s="13">
        <f t="shared" si="5"/>
        <v>1.6920120777517145E-3</v>
      </c>
    </row>
    <row r="185" spans="1:5" x14ac:dyDescent="0.25">
      <c r="A185" s="45">
        <v>43888</v>
      </c>
      <c r="B185">
        <v>293.13000499999998</v>
      </c>
      <c r="C185">
        <v>8566.4804690000001</v>
      </c>
      <c r="D185" s="13">
        <f t="shared" si="4"/>
        <v>-4.1087366017289684E-2</v>
      </c>
      <c r="E185" s="13">
        <f t="shared" si="5"/>
        <v>-4.6131827236165601E-2</v>
      </c>
    </row>
    <row r="186" spans="1:5" x14ac:dyDescent="0.25">
      <c r="A186" s="45">
        <v>43889</v>
      </c>
      <c r="B186">
        <v>281.14001500000001</v>
      </c>
      <c r="C186">
        <v>8567.3701170000004</v>
      </c>
      <c r="D186" s="13">
        <f t="shared" si="4"/>
        <v>-4.0903318648665699E-2</v>
      </c>
      <c r="E186" s="13">
        <f t="shared" si="5"/>
        <v>1.0385221833164593E-4</v>
      </c>
    </row>
    <row r="187" spans="1:5" x14ac:dyDescent="0.25">
      <c r="A187" s="45">
        <v>43892</v>
      </c>
      <c r="B187">
        <v>309.14001500000001</v>
      </c>
      <c r="C187">
        <v>8952.1699219999991</v>
      </c>
      <c r="D187" s="13">
        <f t="shared" si="4"/>
        <v>9.9594502760483872E-2</v>
      </c>
      <c r="E187" s="13">
        <f t="shared" si="5"/>
        <v>4.491457702246926E-2</v>
      </c>
    </row>
    <row r="188" spans="1:5" x14ac:dyDescent="0.25">
      <c r="A188" s="45">
        <v>43893</v>
      </c>
      <c r="B188">
        <v>302.73001099999999</v>
      </c>
      <c r="C188">
        <v>8684.0898440000001</v>
      </c>
      <c r="D188" s="13">
        <f t="shared" si="4"/>
        <v>-2.0734954030457775E-2</v>
      </c>
      <c r="E188" s="13">
        <f t="shared" si="5"/>
        <v>-2.9945820994884298E-2</v>
      </c>
    </row>
    <row r="189" spans="1:5" x14ac:dyDescent="0.25">
      <c r="A189" s="45">
        <v>43894</v>
      </c>
      <c r="B189">
        <v>320.73998999999998</v>
      </c>
      <c r="C189">
        <v>9018.0898440000001</v>
      </c>
      <c r="D189" s="13">
        <f t="shared" si="4"/>
        <v>5.9491884998478017E-2</v>
      </c>
      <c r="E189" s="13">
        <f t="shared" si="5"/>
        <v>3.8461140545519301E-2</v>
      </c>
    </row>
    <row r="190" spans="1:5" x14ac:dyDescent="0.25">
      <c r="A190" s="45">
        <v>43895</v>
      </c>
      <c r="B190">
        <v>315.76001000000002</v>
      </c>
      <c r="C190">
        <v>8738.5898440000001</v>
      </c>
      <c r="D190" s="13">
        <f t="shared" si="4"/>
        <v>-1.5526532877923827E-2</v>
      </c>
      <c r="E190" s="13">
        <f t="shared" si="5"/>
        <v>-3.0993259640893833E-2</v>
      </c>
    </row>
    <row r="191" spans="1:5" x14ac:dyDescent="0.25">
      <c r="A191" s="45">
        <v>43896</v>
      </c>
      <c r="B191">
        <v>311.33999599999999</v>
      </c>
      <c r="C191">
        <v>8575.6201170000004</v>
      </c>
      <c r="D191" s="13">
        <f t="shared" si="4"/>
        <v>-1.3998017038319821E-2</v>
      </c>
      <c r="E191" s="13">
        <f t="shared" si="5"/>
        <v>-1.8649430847460624E-2</v>
      </c>
    </row>
    <row r="192" spans="1:5" x14ac:dyDescent="0.25">
      <c r="A192" s="45">
        <v>43899</v>
      </c>
      <c r="B192">
        <v>301.98001099999999</v>
      </c>
      <c r="C192">
        <v>7950.6801759999998</v>
      </c>
      <c r="D192" s="13">
        <f t="shared" si="4"/>
        <v>-3.0063548276013985E-2</v>
      </c>
      <c r="E192" s="13">
        <f t="shared" si="5"/>
        <v>-7.2874023391164666E-2</v>
      </c>
    </row>
    <row r="193" spans="1:5" x14ac:dyDescent="0.25">
      <c r="A193" s="45">
        <v>43900</v>
      </c>
      <c r="B193">
        <v>309.39999399999999</v>
      </c>
      <c r="C193">
        <v>8344.25</v>
      </c>
      <c r="D193" s="13">
        <f t="shared" si="4"/>
        <v>2.4571106463069814E-2</v>
      </c>
      <c r="E193" s="13">
        <f t="shared" si="5"/>
        <v>4.9501403060839166E-2</v>
      </c>
    </row>
    <row r="194" spans="1:5" x14ac:dyDescent="0.25">
      <c r="A194" s="45">
        <v>43901</v>
      </c>
      <c r="B194">
        <v>297.42999300000002</v>
      </c>
      <c r="C194">
        <v>7952.0498049999997</v>
      </c>
      <c r="D194" s="13">
        <f t="shared" si="4"/>
        <v>-3.8687786787739764E-2</v>
      </c>
      <c r="E194" s="13">
        <f t="shared" si="5"/>
        <v>-4.7002450190250844E-2</v>
      </c>
    </row>
    <row r="195" spans="1:5" x14ac:dyDescent="0.25">
      <c r="A195" s="45">
        <v>43902</v>
      </c>
      <c r="B195">
        <v>279.85000600000001</v>
      </c>
      <c r="C195">
        <v>7201.7998049999997</v>
      </c>
      <c r="D195" s="13">
        <f t="shared" si="4"/>
        <v>-5.910630203323175E-2</v>
      </c>
      <c r="E195" s="13">
        <f t="shared" si="5"/>
        <v>-9.4346743091104135E-2</v>
      </c>
    </row>
    <row r="196" spans="1:5" x14ac:dyDescent="0.25">
      <c r="A196" s="45">
        <v>43903</v>
      </c>
      <c r="B196">
        <v>302.26998900000001</v>
      </c>
      <c r="C196">
        <v>7874.8798829999996</v>
      </c>
      <c r="D196" s="13">
        <f t="shared" ref="D196:D254" si="6">(B196/B195)-1</f>
        <v>8.0114284507108335E-2</v>
      </c>
      <c r="E196" s="13">
        <f t="shared" ref="E196:E254" si="7">(C196/C195)-1</f>
        <v>9.3459981702448847E-2</v>
      </c>
    </row>
    <row r="197" spans="1:5" x14ac:dyDescent="0.25">
      <c r="A197" s="45">
        <v>43906</v>
      </c>
      <c r="B197">
        <v>283.17999300000002</v>
      </c>
      <c r="C197">
        <v>6904.5898440000001</v>
      </c>
      <c r="D197" s="13">
        <f t="shared" si="6"/>
        <v>-6.3155446106824664E-2</v>
      </c>
      <c r="E197" s="13">
        <f t="shared" si="7"/>
        <v>-0.12321331289060367</v>
      </c>
    </row>
    <row r="198" spans="1:5" x14ac:dyDescent="0.25">
      <c r="A198" s="45">
        <v>43907</v>
      </c>
      <c r="B198">
        <v>306.98998999999998</v>
      </c>
      <c r="C198">
        <v>7334.7797849999997</v>
      </c>
      <c r="D198" s="13">
        <f t="shared" si="6"/>
        <v>8.4080788150877384E-2</v>
      </c>
      <c r="E198" s="13">
        <f t="shared" si="7"/>
        <v>6.2304923350925634E-2</v>
      </c>
    </row>
    <row r="199" spans="1:5" x14ac:dyDescent="0.25">
      <c r="A199" s="45">
        <v>43908</v>
      </c>
      <c r="B199">
        <v>307.5</v>
      </c>
      <c r="C199">
        <v>6989.8398440000001</v>
      </c>
      <c r="D199" s="13">
        <f t="shared" si="6"/>
        <v>1.6613245272265598E-3</v>
      </c>
      <c r="E199" s="13">
        <f t="shared" si="7"/>
        <v>-4.7027988721000114E-2</v>
      </c>
    </row>
    <row r="200" spans="1:5" x14ac:dyDescent="0.25">
      <c r="A200" s="45">
        <v>43909</v>
      </c>
      <c r="B200">
        <v>305.22000100000002</v>
      </c>
      <c r="C200">
        <v>7150.580078</v>
      </c>
      <c r="D200" s="13">
        <f t="shared" si="6"/>
        <v>-7.4146308943088268E-3</v>
      </c>
      <c r="E200" s="13">
        <f t="shared" si="7"/>
        <v>2.2996268525090402E-2</v>
      </c>
    </row>
    <row r="201" spans="1:5" x14ac:dyDescent="0.25">
      <c r="A201" s="45">
        <v>43910</v>
      </c>
      <c r="B201">
        <v>290.42001299999998</v>
      </c>
      <c r="C201">
        <v>6879.5200199999999</v>
      </c>
      <c r="D201" s="13">
        <f t="shared" si="6"/>
        <v>-4.848957457411196E-2</v>
      </c>
      <c r="E201" s="13">
        <f t="shared" si="7"/>
        <v>-3.7907422201167051E-2</v>
      </c>
    </row>
    <row r="202" spans="1:5" x14ac:dyDescent="0.25">
      <c r="A202" s="45">
        <v>43913</v>
      </c>
      <c r="B202">
        <v>285.52999899999998</v>
      </c>
      <c r="C202">
        <v>6860.669922</v>
      </c>
      <c r="D202" s="13">
        <f t="shared" si="6"/>
        <v>-1.6837730807483964E-2</v>
      </c>
      <c r="E202" s="13">
        <f t="shared" si="7"/>
        <v>-2.7400309825684754E-3</v>
      </c>
    </row>
    <row r="203" spans="1:5" x14ac:dyDescent="0.25">
      <c r="A203" s="45">
        <v>43914</v>
      </c>
      <c r="B203">
        <v>284.94000199999999</v>
      </c>
      <c r="C203">
        <v>7417.8598629999997</v>
      </c>
      <c r="D203" s="13">
        <f t="shared" si="6"/>
        <v>-2.0663222851059482E-3</v>
      </c>
      <c r="E203" s="13">
        <f t="shared" si="7"/>
        <v>8.1215092306549774E-2</v>
      </c>
    </row>
    <row r="204" spans="1:5" x14ac:dyDescent="0.25">
      <c r="A204" s="45">
        <v>43915</v>
      </c>
      <c r="B204">
        <v>280.85998499999999</v>
      </c>
      <c r="C204">
        <v>7384.2998049999997</v>
      </c>
      <c r="D204" s="13">
        <f t="shared" si="6"/>
        <v>-1.4318863519906855E-2</v>
      </c>
      <c r="E204" s="13">
        <f t="shared" si="7"/>
        <v>-4.5242237814974162E-3</v>
      </c>
    </row>
    <row r="205" spans="1:5" x14ac:dyDescent="0.25">
      <c r="A205" s="45">
        <v>43916</v>
      </c>
      <c r="B205">
        <v>292.29998799999998</v>
      </c>
      <c r="C205">
        <v>7797.5400390000004</v>
      </c>
      <c r="D205" s="13">
        <f t="shared" si="6"/>
        <v>4.0732050170835032E-2</v>
      </c>
      <c r="E205" s="13">
        <f t="shared" si="7"/>
        <v>5.5962006542609632E-2</v>
      </c>
    </row>
    <row r="206" spans="1:5" x14ac:dyDescent="0.25">
      <c r="A206" s="45">
        <v>43917</v>
      </c>
      <c r="B206">
        <v>284.32998700000002</v>
      </c>
      <c r="C206">
        <v>7502.3798829999996</v>
      </c>
      <c r="D206" s="13">
        <f t="shared" si="6"/>
        <v>-2.7266511553876494E-2</v>
      </c>
      <c r="E206" s="13">
        <f t="shared" si="7"/>
        <v>-3.7852983700466303E-2</v>
      </c>
    </row>
    <row r="207" spans="1:5" x14ac:dyDescent="0.25">
      <c r="A207" s="45">
        <v>43920</v>
      </c>
      <c r="B207">
        <v>291.11999500000002</v>
      </c>
      <c r="C207">
        <v>7774.1499020000001</v>
      </c>
      <c r="D207" s="13">
        <f t="shared" si="6"/>
        <v>2.3880731229379615E-2</v>
      </c>
      <c r="E207" s="13">
        <f t="shared" si="7"/>
        <v>3.6224507854609955E-2</v>
      </c>
    </row>
    <row r="208" spans="1:5" x14ac:dyDescent="0.25">
      <c r="A208" s="45">
        <v>43921</v>
      </c>
      <c r="B208">
        <v>285.13000499999998</v>
      </c>
      <c r="C208">
        <v>7700.1000979999999</v>
      </c>
      <c r="D208" s="13">
        <f t="shared" si="6"/>
        <v>-2.057567361527346E-2</v>
      </c>
      <c r="E208" s="13">
        <f t="shared" si="7"/>
        <v>-9.5251319994421602E-3</v>
      </c>
    </row>
    <row r="209" spans="1:5" x14ac:dyDescent="0.25">
      <c r="A209" s="45">
        <v>43922</v>
      </c>
      <c r="B209">
        <v>286.77999899999998</v>
      </c>
      <c r="C209">
        <v>7360.580078</v>
      </c>
      <c r="D209" s="13">
        <f t="shared" si="6"/>
        <v>5.7868129311748895E-3</v>
      </c>
      <c r="E209" s="13">
        <f t="shared" si="7"/>
        <v>-4.4092935894195162E-2</v>
      </c>
    </row>
    <row r="210" spans="1:5" x14ac:dyDescent="0.25">
      <c r="A210" s="45">
        <v>43923</v>
      </c>
      <c r="B210">
        <v>291.48001099999999</v>
      </c>
      <c r="C210">
        <v>7487.3100590000004</v>
      </c>
      <c r="D210" s="13">
        <f t="shared" si="6"/>
        <v>1.6388911417772878E-2</v>
      </c>
      <c r="E210" s="13">
        <f t="shared" si="7"/>
        <v>1.7217390430787294E-2</v>
      </c>
    </row>
    <row r="211" spans="1:5" x14ac:dyDescent="0.25">
      <c r="A211" s="45">
        <v>43924</v>
      </c>
      <c r="B211">
        <v>288.64999399999999</v>
      </c>
      <c r="C211">
        <v>7373.080078</v>
      </c>
      <c r="D211" s="13">
        <f t="shared" si="6"/>
        <v>-9.7091289048977236E-3</v>
      </c>
      <c r="E211" s="13">
        <f t="shared" si="7"/>
        <v>-1.5256477974047833E-2</v>
      </c>
    </row>
    <row r="212" spans="1:5" x14ac:dyDescent="0.25">
      <c r="A212" s="45">
        <v>43927</v>
      </c>
      <c r="B212">
        <v>305.11999500000002</v>
      </c>
      <c r="C212">
        <v>7913.2402339999999</v>
      </c>
      <c r="D212" s="13">
        <f t="shared" si="6"/>
        <v>5.7058726285648342E-2</v>
      </c>
      <c r="E212" s="13">
        <f t="shared" si="7"/>
        <v>7.3261127003318993E-2</v>
      </c>
    </row>
    <row r="213" spans="1:5" x14ac:dyDescent="0.25">
      <c r="A213" s="45">
        <v>43928</v>
      </c>
      <c r="B213">
        <v>303.63000499999998</v>
      </c>
      <c r="C213">
        <v>7887.2597660000001</v>
      </c>
      <c r="D213" s="13">
        <f t="shared" si="6"/>
        <v>-4.8832918996345454E-3</v>
      </c>
      <c r="E213" s="13">
        <f t="shared" si="7"/>
        <v>-3.2831643210289307E-3</v>
      </c>
    </row>
    <row r="214" spans="1:5" x14ac:dyDescent="0.25">
      <c r="A214" s="45">
        <v>43929</v>
      </c>
      <c r="B214">
        <v>305.97000100000002</v>
      </c>
      <c r="C214">
        <v>8090.8999020000001</v>
      </c>
      <c r="D214" s="13">
        <f t="shared" si="6"/>
        <v>7.7067350441866189E-3</v>
      </c>
      <c r="E214" s="13">
        <f t="shared" si="7"/>
        <v>2.5818870183259568E-2</v>
      </c>
    </row>
    <row r="215" spans="1:5" x14ac:dyDescent="0.25">
      <c r="A215" s="45">
        <v>43930</v>
      </c>
      <c r="B215">
        <v>300.01001000000002</v>
      </c>
      <c r="C215">
        <v>8153.580078</v>
      </c>
      <c r="D215" s="13">
        <f t="shared" si="6"/>
        <v>-1.9479004413900047E-2</v>
      </c>
      <c r="E215" s="13">
        <f t="shared" si="7"/>
        <v>7.7469968432690717E-3</v>
      </c>
    </row>
    <row r="216" spans="1:5" x14ac:dyDescent="0.25">
      <c r="A216" s="45">
        <v>43934</v>
      </c>
      <c r="B216">
        <v>299.61999500000002</v>
      </c>
      <c r="C216">
        <v>8192.4199219999991</v>
      </c>
      <c r="D216" s="13">
        <f t="shared" si="6"/>
        <v>-1.3000066231123597E-3</v>
      </c>
      <c r="E216" s="13">
        <f t="shared" si="7"/>
        <v>4.7635325376635951E-3</v>
      </c>
    </row>
    <row r="217" spans="1:5" x14ac:dyDescent="0.25">
      <c r="A217" s="45">
        <v>43935</v>
      </c>
      <c r="B217">
        <v>314.14001500000001</v>
      </c>
      <c r="C217">
        <v>8515.7402340000008</v>
      </c>
      <c r="D217" s="13">
        <f t="shared" si="6"/>
        <v>4.8461451980199133E-2</v>
      </c>
      <c r="E217" s="13">
        <f t="shared" si="7"/>
        <v>3.9465788506733546E-2</v>
      </c>
    </row>
    <row r="218" spans="1:5" x14ac:dyDescent="0.25">
      <c r="A218" s="45">
        <v>43936</v>
      </c>
      <c r="B218">
        <v>310.26998900000001</v>
      </c>
      <c r="C218">
        <v>8393.1796880000002</v>
      </c>
      <c r="D218" s="13">
        <f t="shared" si="6"/>
        <v>-1.2319430238774243E-2</v>
      </c>
      <c r="E218" s="13">
        <f t="shared" si="7"/>
        <v>-1.4392236333215624E-2</v>
      </c>
    </row>
    <row r="219" spans="1:5" x14ac:dyDescent="0.25">
      <c r="A219" s="45">
        <v>43937</v>
      </c>
      <c r="B219">
        <v>321.55999800000001</v>
      </c>
      <c r="C219">
        <v>8532.3603519999997</v>
      </c>
      <c r="D219" s="13">
        <f t="shared" si="6"/>
        <v>3.638769265563746E-2</v>
      </c>
      <c r="E219" s="13">
        <f t="shared" si="7"/>
        <v>1.6582590766999861E-2</v>
      </c>
    </row>
    <row r="220" spans="1:5" x14ac:dyDescent="0.25">
      <c r="A220" s="45">
        <v>43938</v>
      </c>
      <c r="B220">
        <v>317.92001299999998</v>
      </c>
      <c r="C220">
        <v>8650.1396480000003</v>
      </c>
      <c r="D220" s="13">
        <f t="shared" si="6"/>
        <v>-1.131976932031209E-2</v>
      </c>
      <c r="E220" s="13">
        <f t="shared" si="7"/>
        <v>1.3803835180542068E-2</v>
      </c>
    </row>
    <row r="221" spans="1:5" x14ac:dyDescent="0.25">
      <c r="A221" s="45">
        <v>43941</v>
      </c>
      <c r="B221">
        <v>312.07998700000002</v>
      </c>
      <c r="C221">
        <v>8560.7304690000001</v>
      </c>
      <c r="D221" s="13">
        <f t="shared" si="6"/>
        <v>-1.8369482137634341E-2</v>
      </c>
      <c r="E221" s="13">
        <f t="shared" si="7"/>
        <v>-1.0336154401931807E-2</v>
      </c>
    </row>
    <row r="222" spans="1:5" x14ac:dyDescent="0.25">
      <c r="A222" s="45">
        <v>43942</v>
      </c>
      <c r="B222">
        <v>301.32998700000002</v>
      </c>
      <c r="C222">
        <v>8263.2304690000001</v>
      </c>
      <c r="D222" s="13">
        <f t="shared" si="6"/>
        <v>-3.4446297256478631E-2</v>
      </c>
      <c r="E222" s="13">
        <f t="shared" si="7"/>
        <v>-3.4751707354565453E-2</v>
      </c>
    </row>
    <row r="223" spans="1:5" x14ac:dyDescent="0.25">
      <c r="A223" s="45">
        <v>43943</v>
      </c>
      <c r="B223">
        <v>309.42001299999998</v>
      </c>
      <c r="C223">
        <v>8495.3798829999996</v>
      </c>
      <c r="D223" s="13">
        <f t="shared" si="6"/>
        <v>2.6847729562341716E-2</v>
      </c>
      <c r="E223" s="13">
        <f t="shared" si="7"/>
        <v>2.8094268321683824E-2</v>
      </c>
    </row>
    <row r="224" spans="1:5" x14ac:dyDescent="0.25">
      <c r="A224" s="45">
        <v>43944</v>
      </c>
      <c r="B224">
        <v>305.39999399999999</v>
      </c>
      <c r="C224">
        <v>8494.75</v>
      </c>
      <c r="D224" s="13">
        <f t="shared" si="6"/>
        <v>-1.2992110500622323E-2</v>
      </c>
      <c r="E224" s="13">
        <f t="shared" si="7"/>
        <v>-7.4144182917623702E-5</v>
      </c>
    </row>
    <row r="225" spans="1:5" x14ac:dyDescent="0.25">
      <c r="A225" s="45">
        <v>43945</v>
      </c>
      <c r="B225">
        <v>310.54998799999998</v>
      </c>
      <c r="C225">
        <v>8634.5195309999999</v>
      </c>
      <c r="D225" s="13">
        <f t="shared" si="6"/>
        <v>1.6863111005823939E-2</v>
      </c>
      <c r="E225" s="13">
        <f t="shared" si="7"/>
        <v>1.6453636775655589E-2</v>
      </c>
    </row>
    <row r="226" spans="1:5" x14ac:dyDescent="0.25">
      <c r="A226" s="45">
        <v>43948</v>
      </c>
      <c r="B226">
        <v>308.77999899999998</v>
      </c>
      <c r="C226">
        <v>8730.1601559999999</v>
      </c>
      <c r="D226" s="13">
        <f t="shared" si="6"/>
        <v>-5.6995300866024001E-3</v>
      </c>
      <c r="E226" s="13">
        <f t="shared" si="7"/>
        <v>1.1076542783489796E-2</v>
      </c>
    </row>
    <row r="227" spans="1:5" x14ac:dyDescent="0.25">
      <c r="A227" s="45">
        <v>43949</v>
      </c>
      <c r="B227">
        <v>304.95001200000002</v>
      </c>
      <c r="C227">
        <v>8607.7304690000001</v>
      </c>
      <c r="D227" s="13">
        <f t="shared" si="6"/>
        <v>-1.2403611025337047E-2</v>
      </c>
      <c r="E227" s="13">
        <f t="shared" si="7"/>
        <v>-1.4023761856860939E-2</v>
      </c>
    </row>
    <row r="228" spans="1:5" x14ac:dyDescent="0.25">
      <c r="A228" s="45">
        <v>43950</v>
      </c>
      <c r="B228">
        <v>307.08999599999999</v>
      </c>
      <c r="C228">
        <v>8914.7099610000005</v>
      </c>
      <c r="D228" s="13">
        <f t="shared" si="6"/>
        <v>7.0174911158880082E-3</v>
      </c>
      <c r="E228" s="13">
        <f t="shared" si="7"/>
        <v>3.5663232382282528E-2</v>
      </c>
    </row>
    <row r="229" spans="1:5" x14ac:dyDescent="0.25">
      <c r="A229" s="45">
        <v>43951</v>
      </c>
      <c r="B229">
        <v>303</v>
      </c>
      <c r="C229">
        <v>8889.5498050000006</v>
      </c>
      <c r="D229" s="13">
        <f t="shared" si="6"/>
        <v>-1.3318558250917434E-2</v>
      </c>
      <c r="E229" s="13">
        <f t="shared" si="7"/>
        <v>-2.8223190782504792E-3</v>
      </c>
    </row>
    <row r="230" spans="1:5" x14ac:dyDescent="0.25">
      <c r="A230" s="45">
        <v>43952</v>
      </c>
      <c r="B230">
        <v>301.92001299999998</v>
      </c>
      <c r="C230">
        <v>8604.9501949999994</v>
      </c>
      <c r="D230" s="13">
        <f t="shared" si="6"/>
        <v>-3.5643135313532248E-3</v>
      </c>
      <c r="E230" s="13">
        <f t="shared" si="7"/>
        <v>-3.2015075706075202E-2</v>
      </c>
    </row>
    <row r="231" spans="1:5" x14ac:dyDescent="0.25">
      <c r="A231" s="45">
        <v>43955</v>
      </c>
      <c r="B231">
        <v>304.48998999999998</v>
      </c>
      <c r="C231">
        <v>8710.7099610000005</v>
      </c>
      <c r="D231" s="13">
        <f t="shared" si="6"/>
        <v>8.5121121136146893E-3</v>
      </c>
      <c r="E231" s="13">
        <f t="shared" si="7"/>
        <v>1.2290572705633274E-2</v>
      </c>
    </row>
    <row r="232" spans="1:5" x14ac:dyDescent="0.25">
      <c r="A232" s="45">
        <v>43956</v>
      </c>
      <c r="B232">
        <v>307.92001299999998</v>
      </c>
      <c r="C232">
        <v>8809.1201170000004</v>
      </c>
      <c r="D232" s="13">
        <f t="shared" si="6"/>
        <v>1.1264813664317863E-2</v>
      </c>
      <c r="E232" s="13">
        <f t="shared" si="7"/>
        <v>1.1297604493847979E-2</v>
      </c>
    </row>
    <row r="233" spans="1:5" x14ac:dyDescent="0.25">
      <c r="A233" s="45">
        <v>43957</v>
      </c>
      <c r="B233">
        <v>308.89001500000001</v>
      </c>
      <c r="C233">
        <v>8854.3896480000003</v>
      </c>
      <c r="D233" s="13">
        <f t="shared" si="6"/>
        <v>3.1501752372296021E-3</v>
      </c>
      <c r="E233" s="13">
        <f t="shared" si="7"/>
        <v>5.1389390085212483E-3</v>
      </c>
    </row>
    <row r="234" spans="1:5" x14ac:dyDescent="0.25">
      <c r="A234" s="45">
        <v>43958</v>
      </c>
      <c r="B234">
        <v>305</v>
      </c>
      <c r="C234">
        <v>8979.6601559999999</v>
      </c>
      <c r="D234" s="13">
        <f t="shared" si="6"/>
        <v>-1.2593527828991147E-2</v>
      </c>
      <c r="E234" s="13">
        <f t="shared" si="7"/>
        <v>1.4147842254524701E-2</v>
      </c>
    </row>
    <row r="235" spans="1:5" x14ac:dyDescent="0.25">
      <c r="A235" s="45">
        <v>43959</v>
      </c>
      <c r="B235">
        <v>305.94000199999999</v>
      </c>
      <c r="C235">
        <v>9121.3203130000002</v>
      </c>
      <c r="D235" s="13">
        <f t="shared" si="6"/>
        <v>3.0819737704916861E-3</v>
      </c>
      <c r="E235" s="13">
        <f t="shared" si="7"/>
        <v>1.5775670185619095E-2</v>
      </c>
    </row>
    <row r="236" spans="1:5" x14ac:dyDescent="0.25">
      <c r="A236" s="45">
        <v>43962</v>
      </c>
      <c r="B236">
        <v>310.32998700000002</v>
      </c>
      <c r="C236">
        <v>9192.3398440000001</v>
      </c>
      <c r="D236" s="13">
        <f t="shared" si="6"/>
        <v>1.4349169678046891E-2</v>
      </c>
      <c r="E236" s="13">
        <f t="shared" si="7"/>
        <v>7.7861020732690189E-3</v>
      </c>
    </row>
    <row r="237" spans="1:5" x14ac:dyDescent="0.25">
      <c r="A237" s="45">
        <v>43963</v>
      </c>
      <c r="B237">
        <v>304.83999599999999</v>
      </c>
      <c r="C237">
        <v>9002.5498050000006</v>
      </c>
      <c r="D237" s="13">
        <f t="shared" si="6"/>
        <v>-1.7690816968970569E-2</v>
      </c>
      <c r="E237" s="13">
        <f t="shared" si="7"/>
        <v>-2.0646542906469945E-2</v>
      </c>
    </row>
    <row r="238" spans="1:5" x14ac:dyDescent="0.25">
      <c r="A238" s="45">
        <v>43964</v>
      </c>
      <c r="B238">
        <v>302.14001500000001</v>
      </c>
      <c r="C238">
        <v>8863.1699219999991</v>
      </c>
      <c r="D238" s="13">
        <f t="shared" si="6"/>
        <v>-8.8570431551900919E-3</v>
      </c>
      <c r="E238" s="13">
        <f t="shared" si="7"/>
        <v>-1.5482267359697377E-2</v>
      </c>
    </row>
    <row r="239" spans="1:5" x14ac:dyDescent="0.25">
      <c r="A239" s="45">
        <v>43965</v>
      </c>
      <c r="B239">
        <v>299.73998999999998</v>
      </c>
      <c r="C239">
        <v>8943.7197269999997</v>
      </c>
      <c r="D239" s="13">
        <f t="shared" si="6"/>
        <v>-7.9434198743917328E-3</v>
      </c>
      <c r="E239" s="13">
        <f t="shared" si="7"/>
        <v>9.0881485641001181E-3</v>
      </c>
    </row>
    <row r="240" spans="1:5" x14ac:dyDescent="0.25">
      <c r="A240" s="45">
        <v>43966</v>
      </c>
      <c r="B240">
        <v>299.209991</v>
      </c>
      <c r="C240">
        <v>9014.5595699999994</v>
      </c>
      <c r="D240" s="13">
        <f t="shared" si="6"/>
        <v>-1.768195828657948E-3</v>
      </c>
      <c r="E240" s="13">
        <f t="shared" si="7"/>
        <v>7.9206242103206925E-3</v>
      </c>
    </row>
    <row r="241" spans="1:5" x14ac:dyDescent="0.25">
      <c r="A241" s="45">
        <v>43969</v>
      </c>
      <c r="B241">
        <v>302.76001000000002</v>
      </c>
      <c r="C241">
        <v>9234.8300780000009</v>
      </c>
      <c r="D241" s="13">
        <f>(B241/B240)-1</f>
        <v>1.1864640576123131E-2</v>
      </c>
      <c r="E241" s="13">
        <f t="shared" si="7"/>
        <v>2.4434971702117281E-2</v>
      </c>
    </row>
    <row r="242" spans="1:5" x14ac:dyDescent="0.25">
      <c r="A242" s="45">
        <v>43970</v>
      </c>
      <c r="B242">
        <v>304.63000499999998</v>
      </c>
      <c r="C242">
        <v>9185.0996090000008</v>
      </c>
      <c r="D242" s="13">
        <f t="shared" si="6"/>
        <v>6.1764927276886095E-3</v>
      </c>
      <c r="E242" s="13">
        <f t="shared" si="7"/>
        <v>-5.3850984349427256E-3</v>
      </c>
    </row>
    <row r="243" spans="1:5" x14ac:dyDescent="0.25">
      <c r="A243" s="45">
        <v>43971</v>
      </c>
      <c r="B243">
        <v>304.91000400000001</v>
      </c>
      <c r="C243">
        <v>9375.7802730000003</v>
      </c>
      <c r="D243" s="13">
        <f t="shared" si="6"/>
        <v>9.1914452090824383E-4</v>
      </c>
      <c r="E243" s="13">
        <f t="shared" si="7"/>
        <v>2.0759781833303403E-2</v>
      </c>
    </row>
    <row r="244" spans="1:5" x14ac:dyDescent="0.25">
      <c r="A244" s="45">
        <v>43972</v>
      </c>
      <c r="B244">
        <v>301.97000100000002</v>
      </c>
      <c r="C244">
        <v>9284.8798829999996</v>
      </c>
      <c r="D244" s="13">
        <f t="shared" si="6"/>
        <v>-9.6421992110169441E-3</v>
      </c>
      <c r="E244" s="13">
        <f t="shared" si="7"/>
        <v>-9.6952346741498996E-3</v>
      </c>
    </row>
    <row r="245" spans="1:5" x14ac:dyDescent="0.25">
      <c r="A245" s="45">
        <v>43973</v>
      </c>
      <c r="B245">
        <v>302.42999300000002</v>
      </c>
      <c r="C245">
        <v>9324.5898440000001</v>
      </c>
      <c r="D245" s="13">
        <f t="shared" si="6"/>
        <v>1.5233036343897943E-3</v>
      </c>
      <c r="E245" s="13">
        <f t="shared" si="7"/>
        <v>4.2768416501226536E-3</v>
      </c>
    </row>
    <row r="246" spans="1:5" x14ac:dyDescent="0.25">
      <c r="A246" s="45">
        <v>43977</v>
      </c>
      <c r="B246">
        <v>304.79998799999998</v>
      </c>
      <c r="C246">
        <v>9340.2197269999997</v>
      </c>
      <c r="D246" s="13">
        <f t="shared" si="6"/>
        <v>7.8365078029809521E-3</v>
      </c>
      <c r="E246" s="13">
        <f t="shared" si="7"/>
        <v>1.676200590212229E-3</v>
      </c>
    </row>
    <row r="247" spans="1:5" x14ac:dyDescent="0.25">
      <c r="A247" s="45">
        <v>43978</v>
      </c>
      <c r="B247">
        <v>306.01001000000002</v>
      </c>
      <c r="C247">
        <v>9412.3603519999997</v>
      </c>
      <c r="D247" s="13">
        <f t="shared" si="6"/>
        <v>3.9698886077386142E-3</v>
      </c>
      <c r="E247" s="13">
        <f t="shared" si="7"/>
        <v>7.723653951251519E-3</v>
      </c>
    </row>
    <row r="248" spans="1:5" x14ac:dyDescent="0.25">
      <c r="A248" s="45">
        <v>43979</v>
      </c>
      <c r="B248">
        <v>309.55999800000001</v>
      </c>
      <c r="C248">
        <v>9368.9902340000008</v>
      </c>
      <c r="D248" s="13">
        <f t="shared" si="6"/>
        <v>1.160088848073948E-2</v>
      </c>
      <c r="E248" s="13">
        <f t="shared" si="7"/>
        <v>-4.6077834228672732E-3</v>
      </c>
    </row>
    <row r="249" spans="1:5" x14ac:dyDescent="0.25">
      <c r="A249" s="45">
        <v>43980</v>
      </c>
      <c r="B249">
        <v>308.47000100000002</v>
      </c>
      <c r="C249">
        <v>9489.8701170000004</v>
      </c>
      <c r="D249" s="13">
        <f t="shared" si="6"/>
        <v>-3.521117092137982E-3</v>
      </c>
      <c r="E249" s="13">
        <f t="shared" si="7"/>
        <v>1.290212498688792E-2</v>
      </c>
    </row>
    <row r="250" spans="1:5" x14ac:dyDescent="0.25">
      <c r="A250" s="45">
        <v>43983</v>
      </c>
      <c r="B250">
        <v>308.290009</v>
      </c>
      <c r="C250">
        <v>9552.0498050000006</v>
      </c>
      <c r="D250" s="13">
        <f t="shared" si="6"/>
        <v>-5.8349920386591148E-4</v>
      </c>
      <c r="E250" s="13">
        <f t="shared" si="7"/>
        <v>6.5522169675023001E-3</v>
      </c>
    </row>
    <row r="251" spans="1:5" x14ac:dyDescent="0.25">
      <c r="A251" s="45">
        <v>43984</v>
      </c>
      <c r="B251">
        <v>307.08999599999999</v>
      </c>
      <c r="C251">
        <v>9608.3798829999996</v>
      </c>
      <c r="D251" s="13">
        <f t="shared" si="6"/>
        <v>-3.8924809918183811E-3</v>
      </c>
      <c r="E251" s="13">
        <f t="shared" si="7"/>
        <v>5.8971717222948694E-3</v>
      </c>
    </row>
    <row r="252" spans="1:5" x14ac:dyDescent="0.25">
      <c r="A252" s="45">
        <v>43985</v>
      </c>
      <c r="B252">
        <v>306.64001500000001</v>
      </c>
      <c r="C252">
        <v>9682.9101559999999</v>
      </c>
      <c r="D252" s="13">
        <f t="shared" si="6"/>
        <v>-1.465306606731609E-3</v>
      </c>
      <c r="E252" s="13">
        <f t="shared" si="7"/>
        <v>7.7567991594365004E-3</v>
      </c>
    </row>
    <row r="253" spans="1:5" x14ac:dyDescent="0.25">
      <c r="A253" s="45">
        <v>43986</v>
      </c>
      <c r="B253">
        <v>310.75</v>
      </c>
      <c r="C253">
        <v>9615.8095699999994</v>
      </c>
      <c r="D253" s="13">
        <f t="shared" si="6"/>
        <v>1.3403289847869315E-2</v>
      </c>
      <c r="E253" s="13">
        <f t="shared" si="7"/>
        <v>-6.929795373390113E-3</v>
      </c>
    </row>
    <row r="254" spans="1:5" x14ac:dyDescent="0.25">
      <c r="A254" s="45">
        <v>43987</v>
      </c>
      <c r="B254">
        <v>312.040009</v>
      </c>
      <c r="C254">
        <v>9814.0800780000009</v>
      </c>
      <c r="D254" s="13">
        <f t="shared" si="6"/>
        <v>4.151275945293742E-3</v>
      </c>
      <c r="E254" s="13">
        <f t="shared" si="7"/>
        <v>2.0619221559729839E-2</v>
      </c>
    </row>
  </sheetData>
  <autoFilter ref="A1:D1" xr:uid="{00000000-0009-0000-0000-000013000000}"/>
  <mergeCells count="1">
    <mergeCell ref="D1:E1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 tint="-0.499984740745262"/>
  </sheetPr>
  <dimension ref="A1:K21"/>
  <sheetViews>
    <sheetView workbookViewId="0">
      <selection activeCell="G10" sqref="G10"/>
    </sheetView>
  </sheetViews>
  <sheetFormatPr defaultRowHeight="11.5" x14ac:dyDescent="0.25"/>
  <cols>
    <col min="1" max="1" width="30.69921875" customWidth="1"/>
    <col min="2" max="2" width="9.8984375" customWidth="1"/>
    <col min="3" max="3" width="12.3984375" customWidth="1"/>
    <col min="9" max="9" width="9" bestFit="1" customWidth="1"/>
    <col min="10" max="10" width="16.3984375" customWidth="1"/>
  </cols>
  <sheetData>
    <row r="1" spans="1:11" x14ac:dyDescent="0.25">
      <c r="C1" t="s">
        <v>879</v>
      </c>
    </row>
    <row r="2" spans="1:11" ht="14.5" x14ac:dyDescent="0.35">
      <c r="B2" s="14">
        <v>2019</v>
      </c>
      <c r="C2" s="14" t="s">
        <v>525</v>
      </c>
      <c r="D2" s="50">
        <v>2020</v>
      </c>
      <c r="E2" s="49">
        <v>2021</v>
      </c>
      <c r="F2" s="49">
        <v>2022</v>
      </c>
      <c r="G2" s="49">
        <v>2023</v>
      </c>
      <c r="H2" s="49">
        <v>2024</v>
      </c>
      <c r="I2" s="49">
        <v>2025</v>
      </c>
      <c r="J2" t="s">
        <v>882</v>
      </c>
    </row>
    <row r="3" spans="1:11" x14ac:dyDescent="0.25">
      <c r="A3" s="21" t="s">
        <v>791</v>
      </c>
      <c r="B3" s="27">
        <f>128.5*1000</f>
        <v>128500</v>
      </c>
      <c r="C3" s="27">
        <f>137.77*1000</f>
        <v>137770</v>
      </c>
      <c r="D3" s="27">
        <f>'Cash Flow - FCFE'!B26</f>
        <v>0</v>
      </c>
      <c r="I3" s="27">
        <f>C3*(1+$J$3)^5</f>
        <v>172509.52567828484</v>
      </c>
      <c r="J3" s="30">
        <v>4.5999999999999999E-2</v>
      </c>
    </row>
    <row r="4" spans="1:11" x14ac:dyDescent="0.25">
      <c r="A4" t="s">
        <v>775</v>
      </c>
      <c r="B4" s="11">
        <f>B3/B6</f>
        <v>35.118884941240779</v>
      </c>
      <c r="C4" s="11">
        <v>37.020000000000003</v>
      </c>
      <c r="D4" s="11" t="str">
        <f>IFERROR(D3/D6,"")</f>
        <v/>
      </c>
      <c r="I4" s="11" t="str">
        <f>IFERROR(I3/I6,"")</f>
        <v/>
      </c>
    </row>
    <row r="5" spans="1:11" x14ac:dyDescent="0.25">
      <c r="A5" t="s">
        <v>807</v>
      </c>
      <c r="B5" s="27">
        <f>'Income Stmt'!F6</f>
        <v>152703</v>
      </c>
      <c r="C5" s="11"/>
      <c r="D5" s="11">
        <f>'Income Stmt'!G6</f>
        <v>0</v>
      </c>
      <c r="I5" s="11"/>
    </row>
    <row r="6" spans="1:11" x14ac:dyDescent="0.25">
      <c r="A6" t="s">
        <v>808</v>
      </c>
      <c r="B6" s="27">
        <f>'Income Stmt'!F21</f>
        <v>3659</v>
      </c>
      <c r="C6" s="27">
        <f>C3/C4</f>
        <v>3721.5018908697998</v>
      </c>
      <c r="D6" s="27">
        <f>'Income Stmt'!G21</f>
        <v>0</v>
      </c>
      <c r="I6" s="27">
        <f>'Income Stmt'!L21</f>
        <v>0</v>
      </c>
    </row>
    <row r="7" spans="1:11" x14ac:dyDescent="0.25">
      <c r="A7" t="s">
        <v>776</v>
      </c>
      <c r="C7" s="27">
        <v>308</v>
      </c>
      <c r="D7" s="92">
        <f>D3/'Cash Flow - FCFE'!B27</f>
        <v>0</v>
      </c>
      <c r="I7" s="27">
        <f>I3/'Cash Flow - FCFE'!B27</f>
        <v>390.71735295860856</v>
      </c>
    </row>
    <row r="8" spans="1:11" x14ac:dyDescent="0.25">
      <c r="A8" t="s">
        <v>805</v>
      </c>
      <c r="B8">
        <f>'Revenue, Cost, WC'!F5</f>
        <v>782</v>
      </c>
      <c r="D8">
        <f>'Revenue, Cost, WC'!G5</f>
        <v>0</v>
      </c>
    </row>
    <row r="9" spans="1:11" x14ac:dyDescent="0.25">
      <c r="B9" s="27">
        <f>B5/B8</f>
        <v>195.27237851662403</v>
      </c>
      <c r="D9" s="27"/>
    </row>
    <row r="10" spans="1:11" x14ac:dyDescent="0.25">
      <c r="B10" s="38"/>
      <c r="J10" t="s">
        <v>880</v>
      </c>
      <c r="K10" s="27">
        <f>I7-C7</f>
        <v>82.717352958608558</v>
      </c>
    </row>
    <row r="11" spans="1:11" x14ac:dyDescent="0.25">
      <c r="B11" s="38"/>
      <c r="J11" t="s">
        <v>881</v>
      </c>
      <c r="K11" s="28">
        <f>K10/C7</f>
        <v>0.26856283428119659</v>
      </c>
    </row>
    <row r="12" spans="1:11" x14ac:dyDescent="0.25">
      <c r="A12" s="21" t="s">
        <v>804</v>
      </c>
      <c r="B12" s="27">
        <v>2841.1866359447008</v>
      </c>
      <c r="C12" s="27">
        <f>4.812*1000</f>
        <v>4812</v>
      </c>
    </row>
    <row r="13" spans="1:11" x14ac:dyDescent="0.25">
      <c r="A13" t="s">
        <v>775</v>
      </c>
      <c r="B13" s="10">
        <f>B12/B15</f>
        <v>15.179225092665197</v>
      </c>
      <c r="C13">
        <v>19.53</v>
      </c>
    </row>
    <row r="14" spans="1:11" x14ac:dyDescent="0.25">
      <c r="A14" t="s">
        <v>807</v>
      </c>
      <c r="B14" s="27">
        <f>12888.556</f>
        <v>12888.556</v>
      </c>
    </row>
    <row r="15" spans="1:11" x14ac:dyDescent="0.25">
      <c r="A15" t="s">
        <v>808</v>
      </c>
      <c r="B15" s="27">
        <f>187.176</f>
        <v>187.17599999999999</v>
      </c>
      <c r="C15" s="27">
        <f>C12/C13</f>
        <v>246.39016897081413</v>
      </c>
    </row>
    <row r="16" spans="1:11" x14ac:dyDescent="0.25">
      <c r="A16" t="s">
        <v>776</v>
      </c>
      <c r="B16" s="27">
        <v>20.5</v>
      </c>
      <c r="C16" s="27">
        <v>34.72</v>
      </c>
    </row>
    <row r="17" spans="1:8" x14ac:dyDescent="0.25">
      <c r="A17" t="s">
        <v>806</v>
      </c>
      <c r="B17">
        <v>217</v>
      </c>
    </row>
    <row r="18" spans="1:8" x14ac:dyDescent="0.25">
      <c r="B18" s="27"/>
    </row>
    <row r="19" spans="1:8" x14ac:dyDescent="0.25">
      <c r="B19" s="26">
        <f>B14/B17</f>
        <v>59.394267281105996</v>
      </c>
    </row>
    <row r="20" spans="1:8" x14ac:dyDescent="0.25">
      <c r="B20" s="26"/>
    </row>
    <row r="21" spans="1:8" x14ac:dyDescent="0.25">
      <c r="B21" s="93"/>
      <c r="D21" s="27"/>
      <c r="H21" s="27"/>
    </row>
  </sheetData>
  <pageMargins left="0.7" right="0.7" top="0.75" bottom="0.75" header="0.3" footer="0.3"/>
  <pageSetup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X43"/>
  <sheetViews>
    <sheetView topLeftCell="A15" workbookViewId="0">
      <selection activeCell="B35" sqref="B35"/>
    </sheetView>
  </sheetViews>
  <sheetFormatPr defaultColWidth="10.3984375" defaultRowHeight="11.5" x14ac:dyDescent="0.25"/>
  <cols>
    <col min="1" max="1" width="54.5" customWidth="1"/>
    <col min="2" max="2" width="11.296875" customWidth="1"/>
    <col min="3" max="5" width="9.09765625" customWidth="1"/>
    <col min="6" max="6" width="12.3984375" customWidth="1"/>
    <col min="7" max="9" width="9.09765625" customWidth="1"/>
    <col min="10" max="10" width="13" customWidth="1"/>
    <col min="11" max="11" width="9.09765625" customWidth="1"/>
    <col min="12" max="12" width="9.8984375" customWidth="1"/>
    <col min="14" max="14" width="13.19921875" customWidth="1"/>
  </cols>
  <sheetData>
    <row r="1" spans="1:17" ht="12" x14ac:dyDescent="0.3">
      <c r="A1" s="1" t="s">
        <v>0</v>
      </c>
    </row>
    <row r="2" spans="1:17" ht="12" x14ac:dyDescent="0.3">
      <c r="A2" s="1" t="s">
        <v>1</v>
      </c>
    </row>
    <row r="3" spans="1:17" ht="12" x14ac:dyDescent="0.3">
      <c r="A3" s="1" t="s">
        <v>2</v>
      </c>
    </row>
    <row r="4" spans="1:17" ht="12" x14ac:dyDescent="0.3">
      <c r="A4" s="2" t="s">
        <v>3</v>
      </c>
    </row>
    <row r="5" spans="1:17" ht="12" x14ac:dyDescent="0.3">
      <c r="A5" s="1" t="s">
        <v>231</v>
      </c>
    </row>
    <row r="6" spans="1:17" ht="12" x14ac:dyDescent="0.3">
      <c r="A6" s="2" t="s">
        <v>3</v>
      </c>
    </row>
    <row r="7" spans="1:17" ht="12" x14ac:dyDescent="0.3">
      <c r="A7" s="2" t="s">
        <v>3</v>
      </c>
    </row>
    <row r="8" spans="1:17" ht="12" x14ac:dyDescent="0.3">
      <c r="A8" s="2" t="s">
        <v>3</v>
      </c>
    </row>
    <row r="9" spans="1:17" ht="12" x14ac:dyDescent="0.3">
      <c r="A9" s="2" t="s">
        <v>3</v>
      </c>
    </row>
    <row r="10" spans="1:17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</row>
    <row r="11" spans="1:17" ht="12" x14ac:dyDescent="0.3">
      <c r="A11" s="2" t="s">
        <v>3</v>
      </c>
      <c r="B11" s="3" t="s">
        <v>232</v>
      </c>
      <c r="E11" s="2" t="s">
        <v>3</v>
      </c>
      <c r="F11" s="3" t="s">
        <v>232</v>
      </c>
      <c r="I11" s="2" t="s">
        <v>3</v>
      </c>
      <c r="J11" s="3" t="s">
        <v>233</v>
      </c>
    </row>
    <row r="12" spans="1:17" ht="12" x14ac:dyDescent="0.3">
      <c r="A12" s="2" t="s">
        <v>3</v>
      </c>
      <c r="B12" s="3" t="s">
        <v>210</v>
      </c>
      <c r="E12" s="2" t="s">
        <v>3</v>
      </c>
      <c r="F12" s="3" t="s">
        <v>211</v>
      </c>
      <c r="I12" s="2" t="s">
        <v>3</v>
      </c>
      <c r="J12" s="3" t="s">
        <v>234</v>
      </c>
    </row>
    <row r="13" spans="1:17" ht="12" x14ac:dyDescent="0.3">
      <c r="A13" s="2" t="s">
        <v>3</v>
      </c>
      <c r="B13" s="4">
        <v>2019</v>
      </c>
      <c r="E13" s="2" t="s">
        <v>3</v>
      </c>
      <c r="F13" s="4">
        <v>2018</v>
      </c>
      <c r="I13" s="2" t="s">
        <v>3</v>
      </c>
      <c r="J13" s="4">
        <v>2017</v>
      </c>
      <c r="N13" s="13">
        <f>(N14/O14)-1</f>
        <v>4.4573643410852792E-2</v>
      </c>
      <c r="O13" s="13">
        <f>(O14/P14)-1</f>
        <v>4.4534412955465674E-2</v>
      </c>
    </row>
    <row r="14" spans="1:17" ht="12" x14ac:dyDescent="0.3">
      <c r="A14" s="1" t="s">
        <v>235</v>
      </c>
      <c r="B14" s="2" t="s">
        <v>3</v>
      </c>
      <c r="E14" s="2" t="s">
        <v>3</v>
      </c>
      <c r="F14" s="2" t="s">
        <v>3</v>
      </c>
      <c r="I14" s="2" t="s">
        <v>3</v>
      </c>
      <c r="J14" s="2" t="s">
        <v>3</v>
      </c>
      <c r="N14">
        <v>53900</v>
      </c>
      <c r="O14">
        <v>51600</v>
      </c>
      <c r="P14">
        <v>49400</v>
      </c>
      <c r="Q14">
        <v>47600</v>
      </c>
    </row>
    <row r="15" spans="1:17" ht="12" x14ac:dyDescent="0.3">
      <c r="A15" s="3" t="s">
        <v>236</v>
      </c>
      <c r="B15" s="7">
        <v>149351</v>
      </c>
      <c r="D15" s="9">
        <f>(B15/F15)-1</f>
        <v>7.8860684513919921E-2</v>
      </c>
      <c r="E15" s="2" t="s">
        <v>3</v>
      </c>
      <c r="F15" s="7">
        <v>138434</v>
      </c>
      <c r="H15" s="9">
        <f>(F15/J15)-1</f>
        <v>9.7184795358716602E-2</v>
      </c>
      <c r="I15" s="15">
        <f>F15/F$15</f>
        <v>1</v>
      </c>
      <c r="J15" s="7">
        <v>126172</v>
      </c>
      <c r="L15" s="15">
        <f>J15/J$15</f>
        <v>1</v>
      </c>
      <c r="N15">
        <f>39%</f>
        <v>0.39</v>
      </c>
      <c r="O15">
        <v>0.37</v>
      </c>
      <c r="P15">
        <v>0.38</v>
      </c>
      <c r="Q15">
        <v>0.39</v>
      </c>
    </row>
    <row r="16" spans="1:17" ht="12" x14ac:dyDescent="0.3">
      <c r="A16" s="3" t="s">
        <v>237</v>
      </c>
      <c r="B16" s="5">
        <v>3352</v>
      </c>
      <c r="D16" s="9">
        <f>(B16/F16)-1</f>
        <v>6.6836409929980967E-2</v>
      </c>
      <c r="E16" s="15">
        <f>B16/B$15</f>
        <v>2.2443773392879861E-2</v>
      </c>
      <c r="F16" s="5">
        <v>3142</v>
      </c>
      <c r="H16" s="9">
        <f>(F16/J16)-1</f>
        <v>0.10129688047669116</v>
      </c>
      <c r="I16" s="15">
        <f>F16/F$15</f>
        <v>2.2696736350896456E-2</v>
      </c>
      <c r="J16" s="5">
        <v>2853</v>
      </c>
      <c r="L16" s="15">
        <f>J16/J$15</f>
        <v>2.2611989981929429E-2</v>
      </c>
    </row>
    <row r="17" spans="1:24" ht="12" x14ac:dyDescent="0.3">
      <c r="A17" s="1" t="s">
        <v>238</v>
      </c>
      <c r="B17" s="5">
        <v>152703</v>
      </c>
      <c r="D17" s="2"/>
      <c r="E17" s="2" t="s">
        <v>3</v>
      </c>
      <c r="F17" s="5">
        <v>141576</v>
      </c>
      <c r="H17" s="2" t="s">
        <v>3</v>
      </c>
      <c r="I17" s="2" t="s">
        <v>3</v>
      </c>
      <c r="J17" s="5">
        <v>129025</v>
      </c>
      <c r="L17" s="2" t="s">
        <v>3</v>
      </c>
    </row>
    <row r="18" spans="1:24" ht="12" x14ac:dyDescent="0.3">
      <c r="A18" s="1" t="s">
        <v>239</v>
      </c>
      <c r="B18" s="2" t="s">
        <v>3</v>
      </c>
      <c r="E18" s="2" t="s">
        <v>3</v>
      </c>
      <c r="F18" s="2" t="s">
        <v>3</v>
      </c>
      <c r="I18" s="17"/>
      <c r="J18" s="2" t="s">
        <v>3</v>
      </c>
      <c r="L18" s="17"/>
      <c r="O18">
        <v>2020</v>
      </c>
      <c r="Q18">
        <v>2019</v>
      </c>
      <c r="S18">
        <v>2018</v>
      </c>
      <c r="U18">
        <v>2017</v>
      </c>
      <c r="W18">
        <v>2016</v>
      </c>
    </row>
    <row r="19" spans="1:24" ht="12" x14ac:dyDescent="0.3">
      <c r="A19" s="3" t="s">
        <v>240</v>
      </c>
      <c r="B19" s="5">
        <v>132886</v>
      </c>
      <c r="D19" s="2" t="s">
        <v>3</v>
      </c>
      <c r="E19" s="15">
        <f>B19/B$15</f>
        <v>0.88975634578944907</v>
      </c>
      <c r="F19" s="5">
        <v>123152</v>
      </c>
      <c r="H19" s="2" t="s">
        <v>3</v>
      </c>
      <c r="I19" s="15">
        <f>F19/F$15</f>
        <v>0.88960804426658191</v>
      </c>
      <c r="J19" s="5">
        <v>111882</v>
      </c>
      <c r="L19" s="15">
        <f>J19/J$15</f>
        <v>0.88674190787179408</v>
      </c>
      <c r="O19" t="s">
        <v>241</v>
      </c>
      <c r="P19" t="s">
        <v>242</v>
      </c>
      <c r="Q19" t="s">
        <v>241</v>
      </c>
      <c r="R19" t="s">
        <v>242</v>
      </c>
      <c r="S19" t="s">
        <v>241</v>
      </c>
      <c r="T19" t="s">
        <v>242</v>
      </c>
      <c r="U19" t="s">
        <v>241</v>
      </c>
      <c r="V19" t="s">
        <v>242</v>
      </c>
      <c r="W19" t="s">
        <v>241</v>
      </c>
      <c r="X19" t="s">
        <v>242</v>
      </c>
    </row>
    <row r="20" spans="1:24" ht="12" x14ac:dyDescent="0.3">
      <c r="A20" s="3" t="s">
        <v>243</v>
      </c>
      <c r="B20" s="5">
        <v>14994</v>
      </c>
      <c r="D20" s="2" t="s">
        <v>3</v>
      </c>
      <c r="E20" s="15">
        <f>B20/B$15</f>
        <v>0.10039437298712429</v>
      </c>
      <c r="F20" s="5">
        <v>13876</v>
      </c>
      <c r="H20" s="2" t="s">
        <v>3</v>
      </c>
      <c r="I20" s="15">
        <f>F20/F$15</f>
        <v>0.10023549128104367</v>
      </c>
      <c r="J20" s="5">
        <v>12950</v>
      </c>
      <c r="L20" s="15">
        <f>J20/J$15</f>
        <v>0.10263766921345464</v>
      </c>
      <c r="N20" s="5" t="s">
        <v>244</v>
      </c>
      <c r="Q20" s="10">
        <f>N15*N14/1000</f>
        <v>21.021000000000001</v>
      </c>
      <c r="R20" s="10">
        <f>(1-N15)*N14/1000</f>
        <v>32.878999999999998</v>
      </c>
      <c r="S20" s="10">
        <f>O14*O15/1000</f>
        <v>19.091999999999999</v>
      </c>
      <c r="T20" s="10">
        <f>(1-O15)*O14/1000</f>
        <v>32.508000000000003</v>
      </c>
      <c r="U20" s="10">
        <f>P14*P15/1000</f>
        <v>18.771999999999998</v>
      </c>
      <c r="V20" s="10">
        <f>(1-P15)*P14/1000</f>
        <v>30.628</v>
      </c>
      <c r="W20" s="10">
        <f>Q14*Q15/1000</f>
        <v>18.564</v>
      </c>
      <c r="X20" s="10">
        <f>(1-Q15)*Q14/1000</f>
        <v>29.036000000000001</v>
      </c>
    </row>
    <row r="21" spans="1:24" ht="12" x14ac:dyDescent="0.3">
      <c r="A21" s="3" t="s">
        <v>245</v>
      </c>
      <c r="B21" s="5">
        <v>86</v>
      </c>
      <c r="D21" s="5">
        <f>SUM(B19:C21)</f>
        <v>147966</v>
      </c>
      <c r="E21" s="15">
        <f>B21/B$15</f>
        <v>5.7582473502018736E-4</v>
      </c>
      <c r="F21" s="5">
        <v>68</v>
      </c>
      <c r="H21" s="2" t="s">
        <v>3</v>
      </c>
      <c r="I21" s="15">
        <f>F21/F$15</f>
        <v>4.9120880708496465E-4</v>
      </c>
      <c r="J21" s="5">
        <v>82</v>
      </c>
      <c r="L21" s="15">
        <f>J21/J$15</f>
        <v>6.4990647687284027E-4</v>
      </c>
      <c r="N21" s="5"/>
      <c r="O21">
        <v>120</v>
      </c>
      <c r="P21">
        <v>60</v>
      </c>
      <c r="Q21" s="10">
        <v>120</v>
      </c>
      <c r="R21" s="10">
        <v>60</v>
      </c>
      <c r="S21" s="10">
        <v>120</v>
      </c>
      <c r="T21" s="10">
        <v>60</v>
      </c>
      <c r="U21" s="10">
        <v>120</v>
      </c>
      <c r="V21" s="10">
        <v>60</v>
      </c>
      <c r="W21" s="10">
        <v>110</v>
      </c>
      <c r="X21" s="10">
        <v>55</v>
      </c>
    </row>
    <row r="22" spans="1:24" ht="12" x14ac:dyDescent="0.3">
      <c r="A22" s="3" t="s">
        <v>246</v>
      </c>
      <c r="B22" s="5">
        <v>4737</v>
      </c>
      <c r="D22" s="7">
        <f>B15-D21+B16</f>
        <v>4737</v>
      </c>
      <c r="E22" s="15">
        <f>B22/B$15</f>
        <v>3.1717229881286363E-2</v>
      </c>
      <c r="F22" s="5">
        <v>4480</v>
      </c>
      <c r="H22" s="2" t="s">
        <v>3</v>
      </c>
      <c r="I22" s="15">
        <f>F22/F$15</f>
        <v>3.2361991996185911E-2</v>
      </c>
      <c r="J22" s="5">
        <v>4111</v>
      </c>
      <c r="L22" s="15">
        <f>J22/J$15</f>
        <v>3.258250641980788E-2</v>
      </c>
      <c r="N22" s="5" t="s">
        <v>247</v>
      </c>
      <c r="Q22" s="10">
        <f>R22*2</f>
        <v>89.480919902297089</v>
      </c>
      <c r="R22" s="10">
        <f>B16/((Q20*2)+R20)</f>
        <v>44.740459951148544</v>
      </c>
      <c r="S22" s="10">
        <f>T22*2</f>
        <v>88.892661121484736</v>
      </c>
      <c r="T22" s="10">
        <f>F16/((S20*2)+T20)</f>
        <v>44.446330560742368</v>
      </c>
      <c r="U22" s="10">
        <f>V22*2</f>
        <v>83.700052807604294</v>
      </c>
      <c r="V22" s="10">
        <f>J16/((U20*2)+V20)</f>
        <v>41.850026403802147</v>
      </c>
      <c r="W22" s="10">
        <f>X22*2</f>
        <v>79.9830723656369</v>
      </c>
      <c r="X22" s="10">
        <f>2646/((W20*2)+X20)</f>
        <v>39.99153618281845</v>
      </c>
    </row>
    <row r="23" spans="1:24" ht="12" x14ac:dyDescent="0.3">
      <c r="A23" s="1" t="s">
        <v>248</v>
      </c>
      <c r="B23" s="2" t="s">
        <v>3</v>
      </c>
      <c r="E23" s="2" t="s">
        <v>3</v>
      </c>
      <c r="F23" s="2" t="s">
        <v>3</v>
      </c>
      <c r="I23" s="15"/>
      <c r="J23" s="2" t="s">
        <v>3</v>
      </c>
      <c r="L23" s="15"/>
    </row>
    <row r="24" spans="1:24" ht="12" x14ac:dyDescent="0.3">
      <c r="A24" s="3" t="s">
        <v>249</v>
      </c>
      <c r="B24" s="5">
        <v>-150</v>
      </c>
      <c r="D24" s="3" t="s">
        <v>3</v>
      </c>
      <c r="E24" s="15">
        <f>B24/B$15</f>
        <v>-1.0043454680584664E-3</v>
      </c>
      <c r="F24" s="5">
        <v>-159</v>
      </c>
      <c r="H24" s="3" t="s">
        <v>3</v>
      </c>
      <c r="I24" s="15">
        <f t="shared" ref="I24:I29" si="0">F24/F$15</f>
        <v>-1.1485617695074909E-3</v>
      </c>
      <c r="J24" s="5">
        <v>-134</v>
      </c>
      <c r="L24" s="15">
        <f t="shared" ref="L24:L29" si="1">J24/J$15</f>
        <v>-1.0620422914751292E-3</v>
      </c>
    </row>
    <row r="25" spans="1:24" ht="12" x14ac:dyDescent="0.3">
      <c r="A25" s="3" t="s">
        <v>250</v>
      </c>
      <c r="B25" s="5">
        <v>178</v>
      </c>
      <c r="D25" s="2" t="s">
        <v>3</v>
      </c>
      <c r="E25" s="15">
        <f>B25/B$15</f>
        <v>1.1918232887627132E-3</v>
      </c>
      <c r="F25" s="5">
        <v>121</v>
      </c>
      <c r="H25" s="2" t="s">
        <v>3</v>
      </c>
      <c r="I25" s="15">
        <f t="shared" si="0"/>
        <v>8.7406273025412832E-4</v>
      </c>
      <c r="J25" s="5">
        <v>62</v>
      </c>
      <c r="L25" s="15">
        <f t="shared" si="1"/>
        <v>4.9139270202580609E-4</v>
      </c>
    </row>
    <row r="26" spans="1:24" ht="12" x14ac:dyDescent="0.3">
      <c r="A26" s="1" t="s">
        <v>251</v>
      </c>
      <c r="B26" s="5">
        <v>4765</v>
      </c>
      <c r="D26" s="2" t="s">
        <v>3</v>
      </c>
      <c r="E26" s="2" t="s">
        <v>3</v>
      </c>
      <c r="F26" s="5">
        <v>4442</v>
      </c>
      <c r="H26" s="2" t="s">
        <v>3</v>
      </c>
      <c r="I26" s="15">
        <f t="shared" si="0"/>
        <v>3.2087492956932542E-2</v>
      </c>
      <c r="J26" s="5">
        <v>4039</v>
      </c>
      <c r="L26" s="15">
        <f t="shared" si="1"/>
        <v>3.2011856830358558E-2</v>
      </c>
    </row>
    <row r="27" spans="1:24" ht="12" x14ac:dyDescent="0.3">
      <c r="A27" s="3" t="s">
        <v>252</v>
      </c>
      <c r="B27" s="5">
        <v>1061</v>
      </c>
      <c r="D27" s="2" t="s">
        <v>3</v>
      </c>
      <c r="E27" s="15">
        <f>B27/B$15</f>
        <v>7.1040702774002179E-3</v>
      </c>
      <c r="F27" s="5">
        <v>1263</v>
      </c>
      <c r="H27" s="2" t="s">
        <v>3</v>
      </c>
      <c r="I27" s="15">
        <f t="shared" si="0"/>
        <v>9.1234812257104461E-3</v>
      </c>
      <c r="J27" s="5">
        <v>1325</v>
      </c>
      <c r="L27" s="15">
        <f t="shared" si="1"/>
        <v>1.0501537583616017E-2</v>
      </c>
    </row>
    <row r="28" spans="1:24" ht="12" x14ac:dyDescent="0.3">
      <c r="A28" s="3" t="s">
        <v>253</v>
      </c>
      <c r="B28" s="5">
        <v>3704</v>
      </c>
      <c r="D28" s="2" t="s">
        <v>3</v>
      </c>
      <c r="E28" s="15">
        <f>B28/B$15</f>
        <v>2.4800637424590394E-2</v>
      </c>
      <c r="F28" s="5">
        <v>3179</v>
      </c>
      <c r="H28" s="2" t="s">
        <v>3</v>
      </c>
      <c r="I28" s="15">
        <f t="shared" si="0"/>
        <v>2.29640117312221E-2</v>
      </c>
      <c r="J28" s="5">
        <v>2714</v>
      </c>
      <c r="L28" s="15">
        <f t="shared" si="1"/>
        <v>2.1510319246742543E-2</v>
      </c>
    </row>
    <row r="29" spans="1:24" ht="12" x14ac:dyDescent="0.3">
      <c r="A29" s="3" t="s">
        <v>254</v>
      </c>
      <c r="B29" s="5">
        <v>-45</v>
      </c>
      <c r="D29" s="3" t="s">
        <v>3</v>
      </c>
      <c r="E29" s="15">
        <f>B29/B$15</f>
        <v>-3.0130364041753991E-4</v>
      </c>
      <c r="F29" s="5">
        <v>-45</v>
      </c>
      <c r="H29" s="3" t="s">
        <v>3</v>
      </c>
      <c r="I29" s="15">
        <f t="shared" si="0"/>
        <v>-3.2506465174740308E-4</v>
      </c>
      <c r="J29" s="5">
        <v>-35</v>
      </c>
      <c r="L29" s="15">
        <f t="shared" si="1"/>
        <v>-2.7739910598230985E-4</v>
      </c>
    </row>
    <row r="30" spans="1:24" ht="12" x14ac:dyDescent="0.3">
      <c r="A30" s="3" t="s">
        <v>255</v>
      </c>
      <c r="I30" s="15"/>
      <c r="L30" s="15"/>
    </row>
    <row r="31" spans="1:24" ht="12" x14ac:dyDescent="0.3">
      <c r="A31" s="1" t="s">
        <v>256</v>
      </c>
      <c r="B31" s="7">
        <v>3659</v>
      </c>
      <c r="D31" s="9">
        <f>(B31/F31)-1</f>
        <v>0.16751754945756225</v>
      </c>
      <c r="E31" s="15">
        <f>B31/B$15</f>
        <v>2.4499333784172853E-2</v>
      </c>
      <c r="F31" s="7">
        <v>3134</v>
      </c>
      <c r="H31" s="9">
        <f>(F31/J31)-1</f>
        <v>0.16983949234789097</v>
      </c>
      <c r="I31" s="15">
        <f>F31/F$15</f>
        <v>2.2638947079474697E-2</v>
      </c>
      <c r="J31" s="7">
        <v>2679</v>
      </c>
      <c r="L31" s="15">
        <f>J31/J$15</f>
        <v>2.1232920140760232E-2</v>
      </c>
    </row>
    <row r="32" spans="1:24" ht="12" x14ac:dyDescent="0.3">
      <c r="A32" s="1" t="s">
        <v>257</v>
      </c>
      <c r="B32" s="2" t="s">
        <v>3</v>
      </c>
      <c r="E32" s="2" t="s">
        <v>3</v>
      </c>
      <c r="F32" s="2" t="s">
        <v>3</v>
      </c>
      <c r="I32" s="2" t="s">
        <v>3</v>
      </c>
      <c r="J32" s="2" t="s">
        <v>3</v>
      </c>
    </row>
    <row r="33" spans="1:12" ht="12" x14ac:dyDescent="0.3">
      <c r="A33" s="1" t="s">
        <v>258</v>
      </c>
    </row>
    <row r="34" spans="1:12" ht="12" x14ac:dyDescent="0.3">
      <c r="A34" s="3" t="s">
        <v>259</v>
      </c>
      <c r="B34" s="8">
        <v>8.32</v>
      </c>
      <c r="D34" s="2" t="s">
        <v>3</v>
      </c>
      <c r="E34" s="2" t="s">
        <v>3</v>
      </c>
      <c r="F34" s="8">
        <v>7.15</v>
      </c>
      <c r="H34" s="2" t="s">
        <v>3</v>
      </c>
      <c r="I34" s="2" t="s">
        <v>3</v>
      </c>
      <c r="J34" s="8">
        <v>6.11</v>
      </c>
      <c r="L34" s="2" t="s">
        <v>3</v>
      </c>
    </row>
    <row r="35" spans="1:12" ht="12" x14ac:dyDescent="0.3">
      <c r="A35" s="3" t="s">
        <v>260</v>
      </c>
      <c r="B35" s="8">
        <v>8.26</v>
      </c>
      <c r="D35" s="2" t="s">
        <v>3</v>
      </c>
      <c r="E35" s="2" t="s">
        <v>3</v>
      </c>
      <c r="F35" s="8">
        <v>7.09</v>
      </c>
      <c r="H35" s="2" t="s">
        <v>3</v>
      </c>
      <c r="I35" s="2" t="s">
        <v>3</v>
      </c>
      <c r="J35" s="8">
        <v>6.08</v>
      </c>
      <c r="L35" s="2" t="s">
        <v>3</v>
      </c>
    </row>
    <row r="36" spans="1:12" ht="12" x14ac:dyDescent="0.3">
      <c r="A36" s="3" t="s">
        <v>261</v>
      </c>
      <c r="B36" s="2" t="s">
        <v>3</v>
      </c>
      <c r="E36" s="2" t="s">
        <v>3</v>
      </c>
      <c r="F36" s="2" t="s">
        <v>3</v>
      </c>
      <c r="I36" s="2" t="s">
        <v>3</v>
      </c>
      <c r="J36" s="2" t="s">
        <v>3</v>
      </c>
    </row>
    <row r="37" spans="1:12" ht="12" x14ac:dyDescent="0.3">
      <c r="A37" s="3" t="s">
        <v>259</v>
      </c>
      <c r="B37" s="5">
        <v>439755</v>
      </c>
      <c r="D37" s="2" t="s">
        <v>3</v>
      </c>
      <c r="E37" s="2" t="s">
        <v>3</v>
      </c>
      <c r="F37" s="5">
        <v>438515</v>
      </c>
      <c r="H37" s="2" t="s">
        <v>3</v>
      </c>
      <c r="I37" s="2" t="s">
        <v>3</v>
      </c>
      <c r="J37" s="5">
        <v>438437</v>
      </c>
      <c r="L37" s="2" t="s">
        <v>3</v>
      </c>
    </row>
    <row r="38" spans="1:12" ht="12" x14ac:dyDescent="0.3">
      <c r="A38" s="3" t="s">
        <v>260</v>
      </c>
      <c r="B38" s="5">
        <v>442923</v>
      </c>
      <c r="D38" s="2" t="s">
        <v>3</v>
      </c>
      <c r="E38" s="2" t="s">
        <v>3</v>
      </c>
      <c r="F38" s="5">
        <v>441834</v>
      </c>
      <c r="H38" s="2" t="s">
        <v>3</v>
      </c>
      <c r="I38" s="2" t="s">
        <v>3</v>
      </c>
      <c r="J38" s="5">
        <v>440937</v>
      </c>
      <c r="L38" s="2" t="s">
        <v>3</v>
      </c>
    </row>
    <row r="39" spans="1:12" ht="12" x14ac:dyDescent="0.3">
      <c r="A39" s="2" t="s">
        <v>3</v>
      </c>
    </row>
    <row r="40" spans="1:12" ht="12" x14ac:dyDescent="0.3">
      <c r="A40" s="2" t="s">
        <v>3</v>
      </c>
      <c r="B40">
        <f>2371</f>
        <v>2371</v>
      </c>
      <c r="C40" s="16"/>
      <c r="F40" t="e">
        <f>'Balance Sheet'!#REF!</f>
        <v>#REF!</v>
      </c>
    </row>
    <row r="41" spans="1:12" ht="12" x14ac:dyDescent="0.3">
      <c r="A41" s="1"/>
      <c r="B41" s="25">
        <f>B31-B40</f>
        <v>1288</v>
      </c>
      <c r="F41" s="25" t="e">
        <f>F31-F40</f>
        <v>#REF!</v>
      </c>
    </row>
    <row r="42" spans="1:12" ht="12" x14ac:dyDescent="0.3">
      <c r="A42" s="1" t="s">
        <v>9</v>
      </c>
    </row>
    <row r="43" spans="1:12" ht="12" x14ac:dyDescent="0.3">
      <c r="A43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22"/>
  <sheetViews>
    <sheetView workbookViewId="0">
      <selection activeCell="H23" sqref="H23"/>
    </sheetView>
  </sheetViews>
  <sheetFormatPr defaultColWidth="10.3984375" defaultRowHeight="11.5" x14ac:dyDescent="0.25"/>
  <cols>
    <col min="1" max="1" width="8.09765625" customWidth="1"/>
    <col min="2" max="3" width="9.09765625" customWidth="1"/>
    <col min="4" max="4" width="11.8984375" customWidth="1"/>
    <col min="5" max="10" width="9.09765625" customWidth="1"/>
    <col min="11" max="11" width="11.8984375" customWidth="1"/>
    <col min="12" max="16" width="9.09765625" customWidth="1"/>
  </cols>
  <sheetData>
    <row r="1" spans="1:16" ht="12" x14ac:dyDescent="0.3">
      <c r="A1" s="1" t="s">
        <v>0</v>
      </c>
    </row>
    <row r="2" spans="1:16" ht="12" x14ac:dyDescent="0.3">
      <c r="A2" s="1" t="s">
        <v>1</v>
      </c>
    </row>
    <row r="3" spans="1:16" ht="12" x14ac:dyDescent="0.3">
      <c r="A3" s="1" t="s">
        <v>2</v>
      </c>
    </row>
    <row r="4" spans="1:16" ht="12" x14ac:dyDescent="0.3">
      <c r="A4" s="2" t="s">
        <v>3</v>
      </c>
    </row>
    <row r="5" spans="1:16" ht="12" x14ac:dyDescent="0.3">
      <c r="A5" s="1" t="s">
        <v>268</v>
      </c>
    </row>
    <row r="6" spans="1:16" ht="12" x14ac:dyDescent="0.3">
      <c r="A6" s="2" t="s">
        <v>3</v>
      </c>
    </row>
    <row r="7" spans="1:16" ht="12" x14ac:dyDescent="0.3">
      <c r="A7" s="2" t="s">
        <v>3</v>
      </c>
    </row>
    <row r="8" spans="1:16" ht="12" x14ac:dyDescent="0.3">
      <c r="A8" s="2" t="s">
        <v>3</v>
      </c>
    </row>
    <row r="9" spans="1:16" ht="12" x14ac:dyDescent="0.3">
      <c r="A9" s="2" t="s">
        <v>3</v>
      </c>
    </row>
    <row r="10" spans="1:16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  <c r="M10" s="2" t="s">
        <v>3</v>
      </c>
      <c r="N10" s="2" t="s">
        <v>3</v>
      </c>
      <c r="O10" s="2" t="s">
        <v>3</v>
      </c>
      <c r="P10" s="2" t="s">
        <v>3</v>
      </c>
    </row>
    <row r="11" spans="1:16" ht="12" x14ac:dyDescent="0.3">
      <c r="A11" s="3" t="s">
        <v>269</v>
      </c>
      <c r="B11" s="2" t="s">
        <v>3</v>
      </c>
      <c r="C11" s="2" t="s">
        <v>3</v>
      </c>
      <c r="D11" s="3" t="s">
        <v>270</v>
      </c>
      <c r="F11" s="2" t="s">
        <v>3</v>
      </c>
      <c r="G11" s="3" t="s">
        <v>271</v>
      </c>
      <c r="J11" s="2" t="s">
        <v>3</v>
      </c>
      <c r="K11" s="3" t="s">
        <v>272</v>
      </c>
      <c r="M11" s="2" t="s">
        <v>3</v>
      </c>
      <c r="N11" s="3" t="s">
        <v>273</v>
      </c>
    </row>
    <row r="12" spans="1:16" ht="12" x14ac:dyDescent="0.3">
      <c r="A12" s="2" t="s">
        <v>3</v>
      </c>
      <c r="B12" s="2" t="s">
        <v>3</v>
      </c>
      <c r="C12" s="2" t="s">
        <v>3</v>
      </c>
      <c r="D12" s="2" t="s">
        <v>3</v>
      </c>
      <c r="E12" s="2" t="s">
        <v>3</v>
      </c>
      <c r="F12" s="2" t="s">
        <v>3</v>
      </c>
      <c r="G12" s="2" t="s">
        <v>3</v>
      </c>
      <c r="H12" s="2" t="s">
        <v>3</v>
      </c>
      <c r="I12" s="2" t="s">
        <v>3</v>
      </c>
      <c r="J12" s="2" t="s">
        <v>3</v>
      </c>
      <c r="K12" s="3" t="s">
        <v>274</v>
      </c>
      <c r="M12" s="2" t="s">
        <v>3</v>
      </c>
      <c r="N12" s="3" t="s">
        <v>275</v>
      </c>
    </row>
    <row r="13" spans="1:16" ht="12" x14ac:dyDescent="0.3">
      <c r="A13" s="3" t="s">
        <v>276</v>
      </c>
      <c r="C13" s="2" t="s">
        <v>3</v>
      </c>
      <c r="D13" s="5">
        <v>39000</v>
      </c>
      <c r="E13" s="2" t="s">
        <v>3</v>
      </c>
      <c r="F13" s="2" t="s">
        <v>3</v>
      </c>
      <c r="G13" s="8">
        <v>246.12</v>
      </c>
      <c r="I13" s="2" t="s">
        <v>3</v>
      </c>
      <c r="J13" s="2" t="s">
        <v>3</v>
      </c>
      <c r="K13" s="5">
        <v>39000</v>
      </c>
      <c r="L13" s="2" t="s">
        <v>3</v>
      </c>
      <c r="M13" s="2" t="s">
        <v>3</v>
      </c>
      <c r="N13" s="7">
        <v>3985</v>
      </c>
      <c r="P13" s="2" t="s">
        <v>3</v>
      </c>
    </row>
    <row r="14" spans="1:16" ht="12" x14ac:dyDescent="0.3">
      <c r="A14" s="3" t="s">
        <v>277</v>
      </c>
      <c r="C14" s="2" t="s">
        <v>3</v>
      </c>
      <c r="D14" s="5">
        <v>36000</v>
      </c>
      <c r="E14" s="2" t="s">
        <v>3</v>
      </c>
      <c r="F14" s="2" t="s">
        <v>3</v>
      </c>
      <c r="G14" s="6">
        <v>263.3</v>
      </c>
      <c r="I14" s="2" t="s">
        <v>3</v>
      </c>
      <c r="J14" s="2" t="s">
        <v>3</v>
      </c>
      <c r="K14" s="5">
        <v>36000</v>
      </c>
      <c r="L14" s="2" t="s">
        <v>3</v>
      </c>
      <c r="M14" s="2" t="s">
        <v>3</v>
      </c>
      <c r="N14" s="5">
        <v>3976</v>
      </c>
      <c r="P14" s="2" t="s">
        <v>3</v>
      </c>
    </row>
    <row r="15" spans="1:16" ht="12" x14ac:dyDescent="0.3">
      <c r="A15" s="3" t="s">
        <v>278</v>
      </c>
      <c r="C15" s="2" t="s">
        <v>3</v>
      </c>
      <c r="D15" s="5">
        <v>54000</v>
      </c>
      <c r="E15" s="2" t="s">
        <v>3</v>
      </c>
      <c r="F15" s="2" t="s">
        <v>3</v>
      </c>
      <c r="G15" s="6">
        <v>278.14999999999998</v>
      </c>
      <c r="I15" s="2" t="s">
        <v>3</v>
      </c>
      <c r="J15" s="2" t="s">
        <v>3</v>
      </c>
      <c r="K15" s="5">
        <v>54000</v>
      </c>
      <c r="L15" s="2" t="s">
        <v>3</v>
      </c>
      <c r="M15" s="2" t="s">
        <v>3</v>
      </c>
      <c r="N15" s="5">
        <v>3961</v>
      </c>
      <c r="P15" s="2" t="s">
        <v>3</v>
      </c>
    </row>
    <row r="16" spans="1:16" ht="12" x14ac:dyDescent="0.3">
      <c r="A16" s="3" t="s">
        <v>279</v>
      </c>
      <c r="C16" s="2" t="s">
        <v>3</v>
      </c>
      <c r="D16" s="5">
        <v>65000</v>
      </c>
      <c r="E16" s="2" t="s">
        <v>3</v>
      </c>
      <c r="F16" s="2" t="s">
        <v>3</v>
      </c>
      <c r="G16" s="6">
        <v>275.37</v>
      </c>
      <c r="I16" s="2" t="s">
        <v>3</v>
      </c>
      <c r="J16" s="2" t="s">
        <v>3</v>
      </c>
      <c r="K16" s="5">
        <v>65000</v>
      </c>
      <c r="L16" s="2" t="s">
        <v>3</v>
      </c>
      <c r="M16" s="2" t="s">
        <v>3</v>
      </c>
      <c r="N16" s="5">
        <v>3943</v>
      </c>
      <c r="P16" s="2" t="s">
        <v>3</v>
      </c>
    </row>
    <row r="17" spans="1:14" ht="12" x14ac:dyDescent="0.3">
      <c r="A17" s="3" t="s">
        <v>280</v>
      </c>
      <c r="C17" s="2" t="s">
        <v>3</v>
      </c>
      <c r="D17" s="5">
        <v>194000</v>
      </c>
      <c r="E17" s="2" t="s">
        <v>3</v>
      </c>
      <c r="F17" s="2" t="s">
        <v>3</v>
      </c>
      <c r="G17" s="8">
        <v>268.08</v>
      </c>
      <c r="I17" s="2" t="s">
        <v>3</v>
      </c>
      <c r="J17" s="2" t="s">
        <v>3</v>
      </c>
      <c r="K17" s="5">
        <v>194000</v>
      </c>
      <c r="L17" s="2" t="s">
        <v>3</v>
      </c>
      <c r="M17" s="2" t="s">
        <v>3</v>
      </c>
      <c r="N17" s="2" t="s">
        <v>3</v>
      </c>
    </row>
    <row r="18" spans="1:14" ht="12" x14ac:dyDescent="0.3">
      <c r="A18" s="2" t="s">
        <v>3</v>
      </c>
    </row>
    <row r="19" spans="1:14" ht="12" x14ac:dyDescent="0.3">
      <c r="A19" s="2" t="s">
        <v>3</v>
      </c>
    </row>
    <row r="20" spans="1:14" ht="12" x14ac:dyDescent="0.3">
      <c r="A20" s="1" t="s">
        <v>8</v>
      </c>
    </row>
    <row r="21" spans="1:14" ht="12" x14ac:dyDescent="0.3">
      <c r="A21" s="1" t="s">
        <v>9</v>
      </c>
    </row>
    <row r="22" spans="1:14" ht="12" x14ac:dyDescent="0.3">
      <c r="A22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T49"/>
  <sheetViews>
    <sheetView topLeftCell="A10" workbookViewId="0">
      <selection activeCell="F23" sqref="F23"/>
    </sheetView>
  </sheetViews>
  <sheetFormatPr defaultColWidth="10.3984375" defaultRowHeight="11.5" x14ac:dyDescent="0.25"/>
  <cols>
    <col min="1" max="1" width="58.09765625" customWidth="1"/>
    <col min="2" max="3" width="9.09765625" customWidth="1"/>
    <col min="4" max="4" width="2.09765625" customWidth="1"/>
    <col min="5" max="7" width="9.09765625" customWidth="1"/>
    <col min="8" max="8" width="2.09765625" customWidth="1"/>
    <col min="9" max="11" width="9.09765625" customWidth="1"/>
    <col min="12" max="12" width="2.09765625" customWidth="1"/>
    <col min="13" max="15" width="9.09765625" customWidth="1"/>
    <col min="16" max="16" width="2.09765625" customWidth="1"/>
    <col min="17" max="19" width="9.09765625" customWidth="1"/>
    <col min="20" max="20" width="2.09765625" customWidth="1"/>
  </cols>
  <sheetData>
    <row r="1" spans="1:20" ht="12" x14ac:dyDescent="0.3">
      <c r="A1" s="1" t="s">
        <v>0</v>
      </c>
    </row>
    <row r="2" spans="1:20" ht="12" x14ac:dyDescent="0.3">
      <c r="A2" s="1" t="s">
        <v>1</v>
      </c>
    </row>
    <row r="3" spans="1:20" ht="12" x14ac:dyDescent="0.3">
      <c r="A3" s="1" t="s">
        <v>2</v>
      </c>
    </row>
    <row r="4" spans="1:20" ht="12" x14ac:dyDescent="0.3">
      <c r="A4" s="2" t="s">
        <v>3</v>
      </c>
    </row>
    <row r="5" spans="1:20" ht="12" x14ac:dyDescent="0.3">
      <c r="A5" s="1" t="s">
        <v>281</v>
      </c>
    </row>
    <row r="6" spans="1:20" ht="12" x14ac:dyDescent="0.3">
      <c r="A6" s="2" t="s">
        <v>3</v>
      </c>
    </row>
    <row r="7" spans="1:20" ht="12" x14ac:dyDescent="0.3">
      <c r="A7" s="2" t="s">
        <v>3</v>
      </c>
    </row>
    <row r="8" spans="1:20" ht="12" x14ac:dyDescent="0.3">
      <c r="A8" s="2" t="s">
        <v>3</v>
      </c>
    </row>
    <row r="9" spans="1:20" ht="12" x14ac:dyDescent="0.3">
      <c r="A9" s="2" t="s">
        <v>3</v>
      </c>
    </row>
    <row r="10" spans="1:20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  <c r="M10" s="2" t="s">
        <v>3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 t="s">
        <v>3</v>
      </c>
      <c r="T10" s="2" t="s">
        <v>3</v>
      </c>
    </row>
    <row r="11" spans="1:20" ht="12" x14ac:dyDescent="0.3">
      <c r="A11" s="2" t="s">
        <v>3</v>
      </c>
      <c r="B11" s="3" t="s">
        <v>282</v>
      </c>
      <c r="E11" s="2" t="s">
        <v>3</v>
      </c>
      <c r="F11" s="3" t="s">
        <v>283</v>
      </c>
      <c r="I11" s="2" t="s">
        <v>3</v>
      </c>
      <c r="J11" s="3" t="s">
        <v>284</v>
      </c>
      <c r="M11" s="2" t="s">
        <v>3</v>
      </c>
      <c r="N11" s="3" t="s">
        <v>285</v>
      </c>
      <c r="Q11" s="2" t="s">
        <v>3</v>
      </c>
      <c r="R11" s="3" t="s">
        <v>286</v>
      </c>
    </row>
    <row r="12" spans="1:20" ht="12" x14ac:dyDescent="0.3">
      <c r="A12" s="3" t="s">
        <v>287</v>
      </c>
      <c r="B12" s="3" t="s">
        <v>288</v>
      </c>
      <c r="E12" s="2" t="s">
        <v>3</v>
      </c>
      <c r="F12" s="3" t="s">
        <v>288</v>
      </c>
      <c r="I12" s="2" t="s">
        <v>3</v>
      </c>
      <c r="J12" s="3" t="s">
        <v>289</v>
      </c>
      <c r="M12" s="2" t="s">
        <v>3</v>
      </c>
      <c r="N12" s="3" t="s">
        <v>288</v>
      </c>
      <c r="Q12" s="2" t="s">
        <v>3</v>
      </c>
      <c r="R12" s="3" t="s">
        <v>288</v>
      </c>
    </row>
    <row r="13" spans="1:20" ht="12" x14ac:dyDescent="0.3">
      <c r="A13" s="1" t="s">
        <v>281</v>
      </c>
      <c r="B13" s="2" t="s">
        <v>3</v>
      </c>
      <c r="E13" s="2" t="s">
        <v>3</v>
      </c>
      <c r="F13" s="2" t="s">
        <v>3</v>
      </c>
      <c r="I13" s="2" t="s">
        <v>3</v>
      </c>
      <c r="J13" s="2" t="s">
        <v>3</v>
      </c>
      <c r="M13" s="2" t="s">
        <v>3</v>
      </c>
      <c r="N13" s="2" t="s">
        <v>3</v>
      </c>
      <c r="Q13" s="2" t="s">
        <v>3</v>
      </c>
      <c r="R13" s="2" t="s">
        <v>3</v>
      </c>
    </row>
    <row r="14" spans="1:20" ht="12" x14ac:dyDescent="0.3">
      <c r="A14" s="3" t="s">
        <v>236</v>
      </c>
      <c r="B14" s="7">
        <v>149351</v>
      </c>
      <c r="D14" s="2" t="s">
        <v>3</v>
      </c>
      <c r="E14" s="2" t="s">
        <v>3</v>
      </c>
      <c r="F14" s="7">
        <v>138434</v>
      </c>
      <c r="H14" s="2" t="s">
        <v>3</v>
      </c>
      <c r="I14" s="2" t="s">
        <v>3</v>
      </c>
      <c r="J14" s="7">
        <v>126172</v>
      </c>
      <c r="L14" s="2" t="s">
        <v>3</v>
      </c>
      <c r="M14" s="2" t="s">
        <v>3</v>
      </c>
      <c r="N14" s="7">
        <v>116073</v>
      </c>
      <c r="P14" s="2" t="s">
        <v>3</v>
      </c>
      <c r="Q14" s="2" t="s">
        <v>3</v>
      </c>
      <c r="R14" s="7">
        <v>113666</v>
      </c>
      <c r="T14" s="2" t="s">
        <v>3</v>
      </c>
    </row>
    <row r="15" spans="1:20" ht="12" x14ac:dyDescent="0.3">
      <c r="A15" s="3" t="s">
        <v>237</v>
      </c>
      <c r="B15" s="5">
        <v>3352</v>
      </c>
      <c r="D15" s="2" t="s">
        <v>3</v>
      </c>
      <c r="E15" s="2" t="s">
        <v>3</v>
      </c>
      <c r="F15" s="5">
        <v>3142</v>
      </c>
      <c r="H15" s="2" t="s">
        <v>3</v>
      </c>
      <c r="I15" s="2" t="s">
        <v>3</v>
      </c>
      <c r="J15" s="5">
        <v>2853</v>
      </c>
      <c r="L15" s="2" t="s">
        <v>3</v>
      </c>
      <c r="M15" s="2" t="s">
        <v>3</v>
      </c>
      <c r="N15" s="5">
        <v>2646</v>
      </c>
      <c r="P15" s="2" t="s">
        <v>3</v>
      </c>
      <c r="Q15" s="2" t="s">
        <v>3</v>
      </c>
      <c r="R15" s="5">
        <v>2533</v>
      </c>
      <c r="T15" s="2" t="s">
        <v>3</v>
      </c>
    </row>
    <row r="16" spans="1:20" ht="12" x14ac:dyDescent="0.3">
      <c r="A16" s="3" t="s">
        <v>290</v>
      </c>
      <c r="B16" s="6">
        <v>11.02</v>
      </c>
      <c r="D16" s="3" t="s">
        <v>291</v>
      </c>
      <c r="E16" s="2" t="s">
        <v>3</v>
      </c>
      <c r="F16" s="6">
        <v>11.04</v>
      </c>
      <c r="H16" s="3" t="s">
        <v>291</v>
      </c>
      <c r="I16" s="2" t="s">
        <v>3</v>
      </c>
      <c r="J16" s="6">
        <v>11.33</v>
      </c>
      <c r="L16" s="3" t="s">
        <v>291</v>
      </c>
      <c r="M16" s="2" t="s">
        <v>3</v>
      </c>
      <c r="N16" s="6">
        <v>11.35</v>
      </c>
      <c r="P16" s="3" t="s">
        <v>291</v>
      </c>
      <c r="Q16" s="2" t="s">
        <v>3</v>
      </c>
      <c r="R16" s="6">
        <v>11.09</v>
      </c>
      <c r="T16" s="3" t="s">
        <v>291</v>
      </c>
    </row>
    <row r="17" spans="1:20" ht="12" x14ac:dyDescent="0.3">
      <c r="A17" s="3" t="s">
        <v>292</v>
      </c>
      <c r="B17" s="6">
        <v>10.039999999999999</v>
      </c>
      <c r="D17" s="3" t="s">
        <v>291</v>
      </c>
      <c r="E17" s="2" t="s">
        <v>3</v>
      </c>
      <c r="F17" s="6">
        <v>10.02</v>
      </c>
      <c r="H17" s="3" t="s">
        <v>291</v>
      </c>
      <c r="I17" s="2" t="s">
        <v>3</v>
      </c>
      <c r="J17" s="6">
        <v>10.26</v>
      </c>
      <c r="L17" s="3" t="s">
        <v>291</v>
      </c>
      <c r="M17" s="2" t="s">
        <v>3</v>
      </c>
      <c r="N17" s="6">
        <v>10.4</v>
      </c>
      <c r="P17" s="3" t="s">
        <v>291</v>
      </c>
      <c r="Q17" s="2" t="s">
        <v>3</v>
      </c>
      <c r="R17" s="6">
        <v>10.07</v>
      </c>
      <c r="T17" s="3" t="s">
        <v>291</v>
      </c>
    </row>
    <row r="18" spans="1:20" ht="12" x14ac:dyDescent="0.3">
      <c r="A18" s="3" t="s">
        <v>293</v>
      </c>
    </row>
    <row r="19" spans="1:20" ht="12" x14ac:dyDescent="0.3">
      <c r="A19" s="3" t="s">
        <v>246</v>
      </c>
      <c r="B19" s="7">
        <v>4737</v>
      </c>
      <c r="D19" s="2" t="s">
        <v>3</v>
      </c>
      <c r="E19" s="2" t="s">
        <v>3</v>
      </c>
      <c r="F19" s="7">
        <v>4480</v>
      </c>
      <c r="H19" s="2" t="s">
        <v>3</v>
      </c>
      <c r="I19" s="2" t="s">
        <v>3</v>
      </c>
      <c r="J19" s="7">
        <v>4111</v>
      </c>
      <c r="L19" s="2" t="s">
        <v>3</v>
      </c>
      <c r="M19" s="2" t="s">
        <v>3</v>
      </c>
      <c r="N19" s="7">
        <v>3672</v>
      </c>
      <c r="P19" s="2" t="s">
        <v>3</v>
      </c>
      <c r="Q19" s="2" t="s">
        <v>3</v>
      </c>
      <c r="R19" s="7">
        <v>3624</v>
      </c>
      <c r="T19" s="2" t="s">
        <v>3</v>
      </c>
    </row>
    <row r="20" spans="1:20" ht="12" x14ac:dyDescent="0.3">
      <c r="A20" s="3" t="s">
        <v>294</v>
      </c>
      <c r="B20" s="5">
        <v>3659</v>
      </c>
      <c r="D20" s="2" t="s">
        <v>3</v>
      </c>
      <c r="E20" s="2" t="s">
        <v>3</v>
      </c>
      <c r="F20" s="5">
        <v>3134</v>
      </c>
      <c r="H20" s="2" t="s">
        <v>3</v>
      </c>
      <c r="I20" s="2" t="s">
        <v>3</v>
      </c>
      <c r="J20" s="5">
        <v>2679</v>
      </c>
      <c r="L20" s="2" t="s">
        <v>3</v>
      </c>
      <c r="M20" s="2" t="s">
        <v>3</v>
      </c>
      <c r="N20" s="5">
        <v>2350</v>
      </c>
      <c r="P20" s="2" t="s">
        <v>3</v>
      </c>
      <c r="Q20" s="2" t="s">
        <v>3</v>
      </c>
      <c r="R20" s="5">
        <v>2377</v>
      </c>
      <c r="T20" s="2" t="s">
        <v>3</v>
      </c>
    </row>
    <row r="21" spans="1:20" ht="12" x14ac:dyDescent="0.3">
      <c r="A21" s="3" t="s">
        <v>295</v>
      </c>
      <c r="B21" s="6">
        <v>8.26</v>
      </c>
      <c r="D21" s="2" t="s">
        <v>3</v>
      </c>
      <c r="E21" s="2" t="s">
        <v>3</v>
      </c>
      <c r="F21" s="6">
        <v>7.09</v>
      </c>
      <c r="H21" s="2" t="s">
        <v>3</v>
      </c>
      <c r="I21" s="2" t="s">
        <v>3</v>
      </c>
      <c r="J21" s="6">
        <v>6.08</v>
      </c>
      <c r="L21" s="2" t="s">
        <v>3</v>
      </c>
      <c r="M21" s="2" t="s">
        <v>3</v>
      </c>
      <c r="N21" s="6">
        <v>5.33</v>
      </c>
      <c r="P21" s="2" t="s">
        <v>3</v>
      </c>
      <c r="Q21" s="2" t="s">
        <v>3</v>
      </c>
      <c r="R21" s="6">
        <v>5.37</v>
      </c>
      <c r="T21" s="2" t="s">
        <v>3</v>
      </c>
    </row>
    <row r="22" spans="1:20" ht="12" x14ac:dyDescent="0.3">
      <c r="A22" s="3" t="s">
        <v>296</v>
      </c>
    </row>
    <row r="23" spans="1:20" ht="12" x14ac:dyDescent="0.3">
      <c r="A23" s="3" t="s">
        <v>297</v>
      </c>
      <c r="B23" s="6">
        <v>2.44</v>
      </c>
      <c r="D23" s="2" t="s">
        <v>3</v>
      </c>
      <c r="E23" s="2" t="s">
        <v>3</v>
      </c>
      <c r="F23" s="6">
        <v>2.14</v>
      </c>
      <c r="H23" s="2" t="s">
        <v>3</v>
      </c>
      <c r="I23" s="2" t="s">
        <v>3</v>
      </c>
      <c r="J23" s="6">
        <v>8.9</v>
      </c>
      <c r="L23" s="2" t="s">
        <v>3</v>
      </c>
      <c r="M23" s="2" t="s">
        <v>3</v>
      </c>
      <c r="N23" s="6">
        <v>1.7</v>
      </c>
      <c r="P23" s="2" t="s">
        <v>3</v>
      </c>
      <c r="Q23" s="2" t="s">
        <v>3</v>
      </c>
      <c r="R23" s="6">
        <v>6.51</v>
      </c>
      <c r="T23" s="2" t="s">
        <v>3</v>
      </c>
    </row>
    <row r="24" spans="1:20" ht="12" x14ac:dyDescent="0.3">
      <c r="A24" s="3" t="s">
        <v>298</v>
      </c>
      <c r="B24" s="2" t="s">
        <v>3</v>
      </c>
      <c r="E24" s="2" t="s">
        <v>3</v>
      </c>
      <c r="F24" s="2" t="s">
        <v>3</v>
      </c>
      <c r="I24" s="2" t="s">
        <v>3</v>
      </c>
      <c r="J24" s="2" t="s">
        <v>3</v>
      </c>
      <c r="M24" s="2" t="s">
        <v>3</v>
      </c>
      <c r="N24" s="2" t="s">
        <v>3</v>
      </c>
      <c r="Q24" s="2" t="s">
        <v>3</v>
      </c>
      <c r="R24" s="2" t="s">
        <v>3</v>
      </c>
    </row>
    <row r="25" spans="1:20" ht="12" x14ac:dyDescent="0.3">
      <c r="A25" s="3" t="s">
        <v>262</v>
      </c>
      <c r="B25" s="5">
        <v>8</v>
      </c>
      <c r="D25" s="3" t="s">
        <v>291</v>
      </c>
      <c r="E25" s="2" t="s">
        <v>3</v>
      </c>
      <c r="F25" s="5">
        <v>9</v>
      </c>
      <c r="H25" s="3" t="s">
        <v>291</v>
      </c>
      <c r="I25" s="2" t="s">
        <v>3</v>
      </c>
      <c r="J25" s="5">
        <v>4</v>
      </c>
      <c r="L25" s="3" t="s">
        <v>291</v>
      </c>
      <c r="M25" s="2" t="s">
        <v>3</v>
      </c>
      <c r="N25" s="5">
        <v>1</v>
      </c>
      <c r="P25" s="3" t="s">
        <v>291</v>
      </c>
      <c r="Q25" s="2" t="s">
        <v>3</v>
      </c>
      <c r="R25" s="5">
        <v>3</v>
      </c>
      <c r="T25" s="3" t="s">
        <v>291</v>
      </c>
    </row>
    <row r="26" spans="1:20" ht="12" x14ac:dyDescent="0.3">
      <c r="A26" s="3" t="s">
        <v>151</v>
      </c>
      <c r="B26" s="5">
        <v>2</v>
      </c>
      <c r="D26" s="3" t="s">
        <v>291</v>
      </c>
      <c r="E26" s="2" t="s">
        <v>3</v>
      </c>
      <c r="F26" s="5">
        <v>9</v>
      </c>
      <c r="H26" s="3" t="s">
        <v>291</v>
      </c>
      <c r="I26" s="2" t="s">
        <v>3</v>
      </c>
      <c r="J26" s="5">
        <v>5</v>
      </c>
      <c r="L26" s="3" t="s">
        <v>291</v>
      </c>
      <c r="M26" s="2" t="s">
        <v>3</v>
      </c>
      <c r="N26" s="5">
        <v>-3</v>
      </c>
      <c r="P26" s="3" t="s">
        <v>291</v>
      </c>
      <c r="Q26" s="2" t="s">
        <v>3</v>
      </c>
      <c r="R26" s="5">
        <v>-5</v>
      </c>
      <c r="T26" s="3" t="s">
        <v>291</v>
      </c>
    </row>
    <row r="27" spans="1:20" ht="12" x14ac:dyDescent="0.3">
      <c r="A27" s="3" t="s">
        <v>164</v>
      </c>
      <c r="B27" s="5">
        <v>2</v>
      </c>
      <c r="D27" s="3" t="s">
        <v>291</v>
      </c>
      <c r="E27" s="2" t="s">
        <v>3</v>
      </c>
      <c r="F27" s="5">
        <v>11</v>
      </c>
      <c r="H27" s="3" t="s">
        <v>291</v>
      </c>
      <c r="I27" s="2" t="s">
        <v>3</v>
      </c>
      <c r="J27" s="5">
        <v>2</v>
      </c>
      <c r="L27" s="3" t="s">
        <v>291</v>
      </c>
      <c r="M27" s="2" t="s">
        <v>3</v>
      </c>
      <c r="N27" s="5">
        <v>-3</v>
      </c>
      <c r="P27" s="3" t="s">
        <v>291</v>
      </c>
      <c r="Q27" s="2" t="s">
        <v>3</v>
      </c>
      <c r="R27" s="5">
        <v>-3</v>
      </c>
      <c r="T27" s="3" t="s">
        <v>291</v>
      </c>
    </row>
    <row r="28" spans="1:20" ht="12" x14ac:dyDescent="0.3">
      <c r="A28" s="1" t="s">
        <v>299</v>
      </c>
      <c r="B28" s="5">
        <v>6</v>
      </c>
      <c r="D28" s="3" t="s">
        <v>291</v>
      </c>
      <c r="E28" s="2" t="s">
        <v>3</v>
      </c>
      <c r="F28" s="5">
        <v>9</v>
      </c>
      <c r="H28" s="3" t="s">
        <v>291</v>
      </c>
      <c r="I28" s="2" t="s">
        <v>3</v>
      </c>
      <c r="J28" s="5">
        <v>4</v>
      </c>
      <c r="L28" s="3" t="s">
        <v>291</v>
      </c>
      <c r="M28" s="2" t="s">
        <v>3</v>
      </c>
      <c r="N28" s="5">
        <v>0</v>
      </c>
      <c r="P28" s="3" t="s">
        <v>291</v>
      </c>
      <c r="Q28" s="2" t="s">
        <v>3</v>
      </c>
      <c r="R28" s="5">
        <v>1</v>
      </c>
      <c r="T28" s="3" t="s">
        <v>291</v>
      </c>
    </row>
    <row r="29" spans="1:20" ht="12" x14ac:dyDescent="0.3">
      <c r="A29" s="3" t="s">
        <v>300</v>
      </c>
      <c r="B29" s="5">
        <v>6</v>
      </c>
      <c r="D29" s="3" t="s">
        <v>291</v>
      </c>
      <c r="E29" s="2" t="s">
        <v>3</v>
      </c>
      <c r="F29" s="5">
        <v>7</v>
      </c>
      <c r="H29" s="3" t="s">
        <v>291</v>
      </c>
      <c r="I29" s="2" t="s">
        <v>3</v>
      </c>
      <c r="J29" s="5">
        <v>4</v>
      </c>
      <c r="L29" s="3" t="s">
        <v>291</v>
      </c>
      <c r="M29" s="2" t="s">
        <v>3</v>
      </c>
      <c r="N29" s="5">
        <v>4</v>
      </c>
      <c r="P29" s="3" t="s">
        <v>291</v>
      </c>
      <c r="Q29" s="2" t="s">
        <v>3</v>
      </c>
      <c r="R29" s="5">
        <v>7</v>
      </c>
      <c r="T29" s="3" t="s">
        <v>291</v>
      </c>
    </row>
    <row r="30" spans="1:20" ht="12" x14ac:dyDescent="0.3">
      <c r="A30" s="3" t="s">
        <v>301</v>
      </c>
    </row>
    <row r="31" spans="1:20" ht="12" x14ac:dyDescent="0.3">
      <c r="A31" s="3" t="s">
        <v>302</v>
      </c>
    </row>
    <row r="32" spans="1:20" ht="12" x14ac:dyDescent="0.3">
      <c r="A32" s="1" t="s">
        <v>303</v>
      </c>
      <c r="B32" s="2" t="s">
        <v>3</v>
      </c>
      <c r="E32" s="2" t="s">
        <v>3</v>
      </c>
      <c r="F32" s="2" t="s">
        <v>3</v>
      </c>
      <c r="I32" s="2" t="s">
        <v>3</v>
      </c>
      <c r="J32" s="2" t="s">
        <v>3</v>
      </c>
      <c r="M32" s="2" t="s">
        <v>3</v>
      </c>
      <c r="N32" s="2" t="s">
        <v>3</v>
      </c>
      <c r="Q32" s="2" t="s">
        <v>3</v>
      </c>
      <c r="R32" s="2" t="s">
        <v>3</v>
      </c>
    </row>
    <row r="33" spans="1:20" ht="12" x14ac:dyDescent="0.3">
      <c r="A33" s="3" t="s">
        <v>219</v>
      </c>
      <c r="B33" s="7">
        <v>20890</v>
      </c>
      <c r="D33" s="2" t="s">
        <v>3</v>
      </c>
      <c r="E33" s="2" t="s">
        <v>3</v>
      </c>
      <c r="F33" s="7">
        <v>19681</v>
      </c>
      <c r="H33" s="2" t="s">
        <v>3</v>
      </c>
      <c r="I33" s="2" t="s">
        <v>3</v>
      </c>
      <c r="J33" s="7">
        <v>18161</v>
      </c>
      <c r="L33" s="2" t="s">
        <v>3</v>
      </c>
      <c r="M33" s="2" t="s">
        <v>3</v>
      </c>
      <c r="N33" s="7">
        <v>17043</v>
      </c>
      <c r="P33" s="2" t="s">
        <v>3</v>
      </c>
      <c r="Q33" s="2" t="s">
        <v>3</v>
      </c>
      <c r="R33" s="7">
        <v>15401</v>
      </c>
      <c r="T33" s="2" t="s">
        <v>3</v>
      </c>
    </row>
    <row r="34" spans="1:20" ht="12" x14ac:dyDescent="0.3">
      <c r="A34" s="1" t="s">
        <v>304</v>
      </c>
      <c r="B34" s="5">
        <v>45400</v>
      </c>
      <c r="D34" s="2" t="s">
        <v>3</v>
      </c>
      <c r="E34" s="2" t="s">
        <v>3</v>
      </c>
      <c r="F34" s="5">
        <v>40830</v>
      </c>
      <c r="H34" s="2" t="s">
        <v>3</v>
      </c>
      <c r="I34" s="2" t="s">
        <v>3</v>
      </c>
      <c r="J34" s="5">
        <v>36347</v>
      </c>
      <c r="L34" s="2" t="s">
        <v>3</v>
      </c>
      <c r="M34" s="2" t="s">
        <v>3</v>
      </c>
      <c r="N34" s="5">
        <v>33163</v>
      </c>
      <c r="P34" s="2" t="s">
        <v>3</v>
      </c>
      <c r="Q34" s="2" t="s">
        <v>3</v>
      </c>
      <c r="R34" s="5">
        <v>33017</v>
      </c>
      <c r="T34" s="2" t="s">
        <v>3</v>
      </c>
    </row>
    <row r="35" spans="1:20" ht="12" x14ac:dyDescent="0.3">
      <c r="A35" s="3" t="s">
        <v>305</v>
      </c>
      <c r="B35" s="5">
        <v>5124</v>
      </c>
      <c r="D35" s="2" t="s">
        <v>3</v>
      </c>
      <c r="E35" s="2" t="s">
        <v>3</v>
      </c>
      <c r="F35" s="5">
        <v>6487</v>
      </c>
      <c r="H35" s="2" t="s">
        <v>3</v>
      </c>
      <c r="I35" s="2" t="s">
        <v>3</v>
      </c>
      <c r="J35" s="5">
        <v>6573</v>
      </c>
      <c r="L35" s="2" t="s">
        <v>3</v>
      </c>
      <c r="M35" s="2" t="s">
        <v>3</v>
      </c>
      <c r="N35" s="5">
        <v>4061</v>
      </c>
      <c r="P35" s="2" t="s">
        <v>3</v>
      </c>
      <c r="Q35" s="2" t="s">
        <v>3</v>
      </c>
      <c r="R35" s="5">
        <v>4852</v>
      </c>
      <c r="T35" s="2" t="s">
        <v>3</v>
      </c>
    </row>
    <row r="36" spans="1:20" ht="12" x14ac:dyDescent="0.3">
      <c r="A36" s="3" t="s">
        <v>306</v>
      </c>
      <c r="B36" s="5">
        <v>15243</v>
      </c>
      <c r="D36" s="2" t="s">
        <v>3</v>
      </c>
      <c r="E36" s="2" t="s">
        <v>3</v>
      </c>
      <c r="F36" s="5">
        <v>12799</v>
      </c>
      <c r="H36" s="2" t="s">
        <v>3</v>
      </c>
      <c r="I36" s="2" t="s">
        <v>3</v>
      </c>
      <c r="J36" s="5">
        <v>10778</v>
      </c>
      <c r="L36" s="2" t="s">
        <v>3</v>
      </c>
      <c r="M36" s="2" t="s">
        <v>3</v>
      </c>
      <c r="N36" s="5">
        <v>12079</v>
      </c>
      <c r="P36" s="2" t="s">
        <v>3</v>
      </c>
      <c r="Q36" s="2" t="s">
        <v>3</v>
      </c>
      <c r="R36" s="5">
        <v>10617</v>
      </c>
      <c r="T36" s="2" t="s">
        <v>3</v>
      </c>
    </row>
    <row r="37" spans="1:20" ht="12" x14ac:dyDescent="0.3">
      <c r="A37" s="1" t="s">
        <v>307</v>
      </c>
      <c r="B37" s="2" t="s">
        <v>3</v>
      </c>
      <c r="E37" s="2" t="s">
        <v>3</v>
      </c>
      <c r="F37" s="2" t="s">
        <v>3</v>
      </c>
      <c r="I37" s="2" t="s">
        <v>3</v>
      </c>
      <c r="J37" s="2" t="s">
        <v>3</v>
      </c>
      <c r="M37" s="2" t="s">
        <v>3</v>
      </c>
      <c r="N37" s="2" t="s">
        <v>3</v>
      </c>
      <c r="Q37" s="2" t="s">
        <v>3</v>
      </c>
      <c r="R37" s="2" t="s">
        <v>3</v>
      </c>
    </row>
    <row r="38" spans="1:20" ht="12" x14ac:dyDescent="0.3">
      <c r="A38" s="3" t="s">
        <v>308</v>
      </c>
      <c r="B38" s="2" t="s">
        <v>3</v>
      </c>
      <c r="E38" s="2" t="s">
        <v>3</v>
      </c>
      <c r="F38" s="2" t="s">
        <v>3</v>
      </c>
      <c r="I38" s="2" t="s">
        <v>3</v>
      </c>
      <c r="J38" s="2" t="s">
        <v>3</v>
      </c>
      <c r="M38" s="2" t="s">
        <v>3</v>
      </c>
      <c r="N38" s="2" t="s">
        <v>3</v>
      </c>
      <c r="Q38" s="2" t="s">
        <v>3</v>
      </c>
      <c r="R38" s="2" t="s">
        <v>3</v>
      </c>
    </row>
    <row r="39" spans="1:20" ht="12" x14ac:dyDescent="0.3">
      <c r="A39" s="3" t="s">
        <v>309</v>
      </c>
      <c r="B39" s="5">
        <v>762</v>
      </c>
      <c r="D39" s="2" t="s">
        <v>3</v>
      </c>
      <c r="E39" s="2" t="s">
        <v>3</v>
      </c>
      <c r="F39" s="5">
        <v>741</v>
      </c>
      <c r="H39" s="2" t="s">
        <v>3</v>
      </c>
      <c r="I39" s="2" t="s">
        <v>3</v>
      </c>
      <c r="J39" s="5">
        <v>715</v>
      </c>
      <c r="L39" s="2" t="s">
        <v>3</v>
      </c>
      <c r="M39" s="2" t="s">
        <v>3</v>
      </c>
      <c r="N39" s="5">
        <v>686</v>
      </c>
      <c r="P39" s="2" t="s">
        <v>3</v>
      </c>
      <c r="Q39" s="2" t="s">
        <v>3</v>
      </c>
      <c r="R39" s="5">
        <v>663</v>
      </c>
      <c r="T39" s="2" t="s">
        <v>3</v>
      </c>
    </row>
    <row r="40" spans="1:20" ht="12" x14ac:dyDescent="0.3">
      <c r="A40" s="3" t="s">
        <v>310</v>
      </c>
      <c r="B40" s="5">
        <v>25</v>
      </c>
      <c r="D40" s="2" t="s">
        <v>3</v>
      </c>
      <c r="E40" s="2" t="s">
        <v>3</v>
      </c>
      <c r="F40" s="5">
        <v>25</v>
      </c>
      <c r="H40" s="2" t="s">
        <v>3</v>
      </c>
      <c r="I40" s="2" t="s">
        <v>3</v>
      </c>
      <c r="J40" s="5">
        <v>28</v>
      </c>
      <c r="L40" s="2" t="s">
        <v>3</v>
      </c>
      <c r="M40" s="2" t="s">
        <v>3</v>
      </c>
      <c r="N40" s="5">
        <v>33</v>
      </c>
      <c r="P40" s="2" t="s">
        <v>3</v>
      </c>
      <c r="Q40" s="2" t="s">
        <v>3</v>
      </c>
      <c r="R40" s="5">
        <v>26</v>
      </c>
      <c r="T40" s="2" t="s">
        <v>3</v>
      </c>
    </row>
    <row r="41" spans="1:20" ht="12" x14ac:dyDescent="0.3">
      <c r="A41" s="3" t="s">
        <v>311</v>
      </c>
      <c r="B41" s="5">
        <v>-5</v>
      </c>
      <c r="D41" s="3" t="s">
        <v>3</v>
      </c>
      <c r="E41" s="2" t="s">
        <v>3</v>
      </c>
      <c r="F41" s="5">
        <v>-4</v>
      </c>
      <c r="H41" s="3" t="s">
        <v>3</v>
      </c>
      <c r="I41" s="2" t="s">
        <v>3</v>
      </c>
      <c r="J41" s="5">
        <v>-2</v>
      </c>
      <c r="L41" s="3" t="s">
        <v>3</v>
      </c>
      <c r="M41" s="2" t="s">
        <v>3</v>
      </c>
      <c r="N41" s="5">
        <v>-4</v>
      </c>
      <c r="P41" s="3" t="s">
        <v>3</v>
      </c>
      <c r="Q41" s="2" t="s">
        <v>3</v>
      </c>
      <c r="R41" s="5">
        <v>-3</v>
      </c>
      <c r="T41" s="3" t="s">
        <v>3</v>
      </c>
    </row>
    <row r="42" spans="1:20" ht="12" x14ac:dyDescent="0.3">
      <c r="A42" s="3" t="s">
        <v>312</v>
      </c>
      <c r="B42" s="5">
        <v>782</v>
      </c>
      <c r="D42" s="2" t="s">
        <v>3</v>
      </c>
      <c r="E42" s="2" t="s">
        <v>3</v>
      </c>
      <c r="F42" s="5">
        <v>762</v>
      </c>
      <c r="H42" s="2" t="s">
        <v>3</v>
      </c>
      <c r="I42" s="2" t="s">
        <v>3</v>
      </c>
      <c r="J42" s="5">
        <v>741</v>
      </c>
      <c r="L42" s="2" t="s">
        <v>3</v>
      </c>
      <c r="M42" s="2" t="s">
        <v>3</v>
      </c>
      <c r="N42" s="5">
        <v>715</v>
      </c>
      <c r="P42" s="2" t="s">
        <v>3</v>
      </c>
      <c r="Q42" s="2" t="s">
        <v>3</v>
      </c>
      <c r="R42" s="5">
        <v>686</v>
      </c>
      <c r="T42" s="2" t="s">
        <v>3</v>
      </c>
    </row>
    <row r="43" spans="1:20" ht="12" x14ac:dyDescent="0.3">
      <c r="A43" s="1" t="s">
        <v>313</v>
      </c>
      <c r="B43" s="2" t="s">
        <v>3</v>
      </c>
      <c r="E43" s="2" t="s">
        <v>3</v>
      </c>
      <c r="F43" s="2" t="s">
        <v>3</v>
      </c>
      <c r="I43" s="2" t="s">
        <v>3</v>
      </c>
      <c r="J43" s="2" t="s">
        <v>3</v>
      </c>
      <c r="M43" s="2" t="s">
        <v>3</v>
      </c>
      <c r="N43" s="2" t="s">
        <v>3</v>
      </c>
      <c r="Q43" s="2" t="s">
        <v>3</v>
      </c>
      <c r="R43" s="2" t="s">
        <v>3</v>
      </c>
    </row>
    <row r="44" spans="1:20" ht="12" x14ac:dyDescent="0.3">
      <c r="A44" s="1" t="s">
        <v>314</v>
      </c>
      <c r="B44" s="5">
        <v>53900</v>
      </c>
      <c r="D44" s="2" t="s">
        <v>3</v>
      </c>
      <c r="E44" s="2" t="s">
        <v>3</v>
      </c>
      <c r="F44" s="5">
        <v>51600</v>
      </c>
      <c r="H44" s="2" t="s">
        <v>3</v>
      </c>
      <c r="I44" s="2" t="s">
        <v>3</v>
      </c>
      <c r="J44" s="5">
        <v>49400</v>
      </c>
      <c r="L44" s="2" t="s">
        <v>3</v>
      </c>
      <c r="M44" s="2" t="s">
        <v>3</v>
      </c>
      <c r="N44" s="5">
        <v>47600</v>
      </c>
      <c r="P44" s="2" t="s">
        <v>3</v>
      </c>
      <c r="Q44" s="2" t="s">
        <v>3</v>
      </c>
      <c r="R44" s="5">
        <v>44600</v>
      </c>
      <c r="T44" s="2" t="s">
        <v>3</v>
      </c>
    </row>
    <row r="45" spans="1:20" ht="12" x14ac:dyDescent="0.3">
      <c r="A45" s="2" t="s">
        <v>3</v>
      </c>
    </row>
    <row r="46" spans="1:20" ht="12" x14ac:dyDescent="0.3">
      <c r="A46" s="2" t="s">
        <v>3</v>
      </c>
    </row>
    <row r="47" spans="1:20" ht="12" x14ac:dyDescent="0.3">
      <c r="A47" s="1" t="s">
        <v>8</v>
      </c>
    </row>
    <row r="48" spans="1:20" ht="12" x14ac:dyDescent="0.3">
      <c r="A48" s="1" t="s">
        <v>9</v>
      </c>
    </row>
    <row r="49" spans="1:1" ht="12" x14ac:dyDescent="0.3">
      <c r="A49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34"/>
  <sheetViews>
    <sheetView workbookViewId="0">
      <selection activeCell="B27" sqref="B27:C27"/>
    </sheetView>
  </sheetViews>
  <sheetFormatPr defaultColWidth="10.3984375" defaultRowHeight="11.5" x14ac:dyDescent="0.25"/>
  <cols>
    <col min="1" max="1" width="49.796875" customWidth="1"/>
    <col min="2" max="3" width="9.09765625" customWidth="1"/>
    <col min="4" max="4" width="2.09765625" customWidth="1"/>
    <col min="5" max="7" width="9.09765625" customWidth="1"/>
    <col min="8" max="8" width="2.09765625" customWidth="1"/>
    <col min="9" max="11" width="9.09765625" customWidth="1"/>
    <col min="12" max="12" width="2.09765625" customWidth="1"/>
  </cols>
  <sheetData>
    <row r="1" spans="1:12" ht="12" x14ac:dyDescent="0.3">
      <c r="A1" s="1" t="s">
        <v>0</v>
      </c>
    </row>
    <row r="2" spans="1:12" ht="12" x14ac:dyDescent="0.3">
      <c r="A2" s="1" t="s">
        <v>1</v>
      </c>
    </row>
    <row r="3" spans="1:12" ht="12" x14ac:dyDescent="0.3">
      <c r="A3" s="1" t="s">
        <v>2</v>
      </c>
    </row>
    <row r="4" spans="1:12" ht="12" x14ac:dyDescent="0.3">
      <c r="A4" s="2" t="s">
        <v>3</v>
      </c>
    </row>
    <row r="5" spans="1:12" ht="12" x14ac:dyDescent="0.3">
      <c r="A5" s="1" t="s">
        <v>315</v>
      </c>
    </row>
    <row r="6" spans="1:12" ht="12" x14ac:dyDescent="0.3">
      <c r="A6" s="2" t="s">
        <v>3</v>
      </c>
    </row>
    <row r="7" spans="1:12" ht="12" x14ac:dyDescent="0.3">
      <c r="A7" s="2" t="s">
        <v>3</v>
      </c>
    </row>
    <row r="8" spans="1:12" ht="12" x14ac:dyDescent="0.3">
      <c r="A8" s="2" t="s">
        <v>3</v>
      </c>
    </row>
    <row r="9" spans="1:12" ht="12" x14ac:dyDescent="0.3">
      <c r="A9" s="2" t="s">
        <v>3</v>
      </c>
    </row>
    <row r="10" spans="1:12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</row>
    <row r="11" spans="1:12" ht="12" x14ac:dyDescent="0.3">
      <c r="A11" s="2" t="s">
        <v>3</v>
      </c>
      <c r="B11" s="4">
        <v>2019</v>
      </c>
      <c r="E11" s="2" t="s">
        <v>3</v>
      </c>
      <c r="F11" s="4">
        <v>2018</v>
      </c>
      <c r="I11" s="2" t="s">
        <v>3</v>
      </c>
      <c r="J11" s="4">
        <v>2017</v>
      </c>
    </row>
    <row r="12" spans="1:12" ht="12" x14ac:dyDescent="0.3">
      <c r="A12" s="3" t="s">
        <v>315</v>
      </c>
      <c r="B12" s="7">
        <v>149351</v>
      </c>
      <c r="D12" s="2" t="s">
        <v>3</v>
      </c>
      <c r="E12" s="2" t="s">
        <v>3</v>
      </c>
      <c r="F12" s="7">
        <v>138434</v>
      </c>
      <c r="H12" s="2" t="s">
        <v>3</v>
      </c>
      <c r="I12" s="2" t="s">
        <v>3</v>
      </c>
      <c r="J12" s="7">
        <v>126172</v>
      </c>
      <c r="L12" s="2" t="s">
        <v>3</v>
      </c>
    </row>
    <row r="13" spans="1:12" ht="12" x14ac:dyDescent="0.3">
      <c r="A13" s="3" t="s">
        <v>316</v>
      </c>
      <c r="B13" s="2" t="s">
        <v>3</v>
      </c>
      <c r="E13" s="2" t="s">
        <v>3</v>
      </c>
      <c r="F13" s="2" t="s">
        <v>3</v>
      </c>
      <c r="I13" s="2" t="s">
        <v>3</v>
      </c>
      <c r="J13" s="2" t="s">
        <v>3</v>
      </c>
    </row>
    <row r="14" spans="1:12" ht="12" x14ac:dyDescent="0.3">
      <c r="A14" s="1" t="s">
        <v>317</v>
      </c>
      <c r="B14" s="5">
        <v>9</v>
      </c>
      <c r="D14" s="3" t="s">
        <v>291</v>
      </c>
      <c r="E14" s="2" t="s">
        <v>3</v>
      </c>
      <c r="F14" s="5">
        <v>9</v>
      </c>
      <c r="H14" s="3" t="s">
        <v>291</v>
      </c>
      <c r="I14" s="2" t="s">
        <v>3</v>
      </c>
      <c r="J14" s="5">
        <v>8</v>
      </c>
      <c r="L14" s="3" t="s">
        <v>291</v>
      </c>
    </row>
    <row r="15" spans="1:12" ht="12" x14ac:dyDescent="0.3">
      <c r="A15" s="3" t="s">
        <v>151</v>
      </c>
      <c r="B15" s="5">
        <v>3</v>
      </c>
      <c r="D15" s="3" t="s">
        <v>291</v>
      </c>
      <c r="E15" s="2" t="s">
        <v>3</v>
      </c>
      <c r="F15" s="5">
        <v>10</v>
      </c>
      <c r="H15" s="3" t="s">
        <v>291</v>
      </c>
      <c r="I15" s="2" t="s">
        <v>3</v>
      </c>
      <c r="J15" s="5">
        <v>10</v>
      </c>
      <c r="L15" s="3" t="s">
        <v>291</v>
      </c>
    </row>
    <row r="16" spans="1:12" ht="12" x14ac:dyDescent="0.3">
      <c r="A16" s="3" t="s">
        <v>164</v>
      </c>
      <c r="B16" s="5">
        <v>5</v>
      </c>
      <c r="D16" s="3" t="s">
        <v>291</v>
      </c>
      <c r="E16" s="2" t="s">
        <v>3</v>
      </c>
      <c r="F16" s="5">
        <v>14</v>
      </c>
      <c r="H16" s="3" t="s">
        <v>291</v>
      </c>
      <c r="I16" s="2" t="s">
        <v>3</v>
      </c>
      <c r="J16" s="5">
        <v>8</v>
      </c>
      <c r="L16" s="3" t="s">
        <v>291</v>
      </c>
    </row>
    <row r="17" spans="1:12" ht="12" x14ac:dyDescent="0.3">
      <c r="A17" s="1" t="s">
        <v>299</v>
      </c>
      <c r="B17" s="5">
        <v>8</v>
      </c>
      <c r="D17" s="3" t="s">
        <v>291</v>
      </c>
      <c r="E17" s="2" t="s">
        <v>3</v>
      </c>
      <c r="F17" s="5">
        <v>10</v>
      </c>
      <c r="H17" s="3" t="s">
        <v>291</v>
      </c>
      <c r="I17" s="2" t="s">
        <v>3</v>
      </c>
      <c r="J17" s="5">
        <v>9</v>
      </c>
      <c r="L17" s="3" t="s">
        <v>291</v>
      </c>
    </row>
    <row r="18" spans="1:12" ht="12" x14ac:dyDescent="0.3">
      <c r="A18" s="3" t="s">
        <v>318</v>
      </c>
      <c r="B18" s="2" t="s">
        <v>3</v>
      </c>
      <c r="E18" s="2" t="s">
        <v>3</v>
      </c>
      <c r="F18" s="2" t="s">
        <v>3</v>
      </c>
      <c r="I18" s="2" t="s">
        <v>3</v>
      </c>
      <c r="J18" s="2" t="s">
        <v>3</v>
      </c>
    </row>
    <row r="19" spans="1:12" ht="12" x14ac:dyDescent="0.3">
      <c r="A19" s="1" t="s">
        <v>317</v>
      </c>
      <c r="B19" s="5">
        <v>8</v>
      </c>
      <c r="D19" s="3" t="s">
        <v>291</v>
      </c>
      <c r="E19" s="2" t="s">
        <v>3</v>
      </c>
      <c r="F19" s="5">
        <v>9</v>
      </c>
      <c r="H19" s="3" t="s">
        <v>291</v>
      </c>
      <c r="I19" s="2" t="s">
        <v>3</v>
      </c>
      <c r="J19" s="5">
        <v>4</v>
      </c>
      <c r="L19" s="3" t="s">
        <v>291</v>
      </c>
    </row>
    <row r="20" spans="1:12" ht="12" x14ac:dyDescent="0.3">
      <c r="A20" s="3" t="s">
        <v>151</v>
      </c>
      <c r="B20" s="5">
        <v>2</v>
      </c>
      <c r="D20" s="3" t="s">
        <v>291</v>
      </c>
      <c r="E20" s="2" t="s">
        <v>3</v>
      </c>
      <c r="F20" s="5">
        <v>9</v>
      </c>
      <c r="H20" s="3" t="s">
        <v>291</v>
      </c>
      <c r="I20" s="2" t="s">
        <v>3</v>
      </c>
      <c r="J20" s="5">
        <v>5</v>
      </c>
      <c r="L20" s="3" t="s">
        <v>291</v>
      </c>
    </row>
    <row r="21" spans="1:12" ht="12" x14ac:dyDescent="0.3">
      <c r="A21" s="3" t="s">
        <v>164</v>
      </c>
      <c r="B21" s="5">
        <v>2</v>
      </c>
      <c r="D21" s="3" t="s">
        <v>291</v>
      </c>
      <c r="E21" s="2" t="s">
        <v>3</v>
      </c>
      <c r="F21" s="5">
        <v>11</v>
      </c>
      <c r="H21" s="3" t="s">
        <v>291</v>
      </c>
      <c r="I21" s="2" t="s">
        <v>3</v>
      </c>
      <c r="J21" s="5">
        <v>2</v>
      </c>
      <c r="L21" s="3" t="s">
        <v>291</v>
      </c>
    </row>
    <row r="22" spans="1:12" ht="12" x14ac:dyDescent="0.3">
      <c r="A22" s="1" t="s">
        <v>299</v>
      </c>
      <c r="B22" s="5">
        <v>6</v>
      </c>
      <c r="D22" s="3" t="s">
        <v>291</v>
      </c>
      <c r="E22" s="2" t="s">
        <v>3</v>
      </c>
      <c r="F22" s="5">
        <v>9</v>
      </c>
      <c r="H22" s="3" t="s">
        <v>291</v>
      </c>
      <c r="I22" s="2" t="s">
        <v>3</v>
      </c>
      <c r="J22" s="5">
        <v>4</v>
      </c>
      <c r="L22" s="3" t="s">
        <v>291</v>
      </c>
    </row>
    <row r="23" spans="1:12" ht="12" x14ac:dyDescent="0.3">
      <c r="A23" s="3" t="s">
        <v>319</v>
      </c>
      <c r="B23" s="2" t="s">
        <v>3</v>
      </c>
      <c r="E23" s="2" t="s">
        <v>3</v>
      </c>
      <c r="F23" s="2" t="s">
        <v>3</v>
      </c>
      <c r="I23" s="2" t="s">
        <v>3</v>
      </c>
      <c r="J23" s="2" t="s">
        <v>3</v>
      </c>
    </row>
    <row r="24" spans="1:12" ht="12" x14ac:dyDescent="0.3">
      <c r="A24" s="3" t="s">
        <v>320</v>
      </c>
    </row>
    <row r="25" spans="1:12" ht="12" x14ac:dyDescent="0.3">
      <c r="A25" s="3" t="s">
        <v>321</v>
      </c>
    </row>
    <row r="26" spans="1:12" ht="12" x14ac:dyDescent="0.3">
      <c r="A26" s="1" t="s">
        <v>317</v>
      </c>
      <c r="B26" s="5">
        <v>6</v>
      </c>
      <c r="D26" s="3" t="s">
        <v>291</v>
      </c>
      <c r="E26" s="2" t="s">
        <v>3</v>
      </c>
      <c r="F26" s="5">
        <v>7</v>
      </c>
      <c r="H26" s="3" t="s">
        <v>291</v>
      </c>
      <c r="I26" s="2" t="s">
        <v>3</v>
      </c>
      <c r="J26" s="5">
        <v>4</v>
      </c>
      <c r="L26" s="3" t="s">
        <v>291</v>
      </c>
    </row>
    <row r="27" spans="1:12" ht="12" x14ac:dyDescent="0.3">
      <c r="A27" s="3" t="s">
        <v>151</v>
      </c>
      <c r="B27" s="5">
        <v>5</v>
      </c>
      <c r="D27" s="3" t="s">
        <v>291</v>
      </c>
      <c r="E27" s="2" t="s">
        <v>3</v>
      </c>
      <c r="F27" s="5">
        <v>4</v>
      </c>
      <c r="H27" s="3" t="s">
        <v>291</v>
      </c>
      <c r="I27" s="2" t="s">
        <v>3</v>
      </c>
      <c r="J27" s="5">
        <v>4</v>
      </c>
      <c r="L27" s="3" t="s">
        <v>291</v>
      </c>
    </row>
    <row r="28" spans="1:12" ht="12" x14ac:dyDescent="0.3">
      <c r="A28" s="3" t="s">
        <v>164</v>
      </c>
      <c r="B28" s="5">
        <v>6</v>
      </c>
      <c r="D28" s="3" t="s">
        <v>291</v>
      </c>
      <c r="E28" s="2" t="s">
        <v>3</v>
      </c>
      <c r="F28" s="5">
        <v>7</v>
      </c>
      <c r="H28" s="3" t="s">
        <v>291</v>
      </c>
      <c r="I28" s="2" t="s">
        <v>3</v>
      </c>
      <c r="J28" s="5">
        <v>4</v>
      </c>
      <c r="L28" s="3" t="s">
        <v>291</v>
      </c>
    </row>
    <row r="29" spans="1:12" ht="12" x14ac:dyDescent="0.3">
      <c r="A29" s="1" t="s">
        <v>299</v>
      </c>
      <c r="B29" s="5">
        <v>6</v>
      </c>
      <c r="D29" s="3" t="s">
        <v>291</v>
      </c>
      <c r="E29" s="2" t="s">
        <v>3</v>
      </c>
      <c r="F29" s="5">
        <v>7</v>
      </c>
      <c r="H29" s="3" t="s">
        <v>291</v>
      </c>
      <c r="I29" s="2" t="s">
        <v>3</v>
      </c>
      <c r="J29" s="5">
        <v>4</v>
      </c>
      <c r="L29" s="3" t="s">
        <v>291</v>
      </c>
    </row>
    <row r="30" spans="1:12" ht="12" x14ac:dyDescent="0.3">
      <c r="A30" s="2" t="s">
        <v>3</v>
      </c>
    </row>
    <row r="31" spans="1:12" ht="12" x14ac:dyDescent="0.3">
      <c r="A31" s="2" t="s">
        <v>3</v>
      </c>
    </row>
    <row r="32" spans="1:12" ht="12" x14ac:dyDescent="0.3">
      <c r="A32" s="1" t="s">
        <v>8</v>
      </c>
    </row>
    <row r="33" spans="1:1" ht="12" x14ac:dyDescent="0.3">
      <c r="A33" s="1" t="s">
        <v>9</v>
      </c>
    </row>
    <row r="34" spans="1:1" ht="12" x14ac:dyDescent="0.3">
      <c r="A34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19"/>
  <sheetViews>
    <sheetView workbookViewId="0">
      <selection activeCell="F25" sqref="F25"/>
    </sheetView>
  </sheetViews>
  <sheetFormatPr defaultColWidth="10.3984375" defaultRowHeight="11.5" x14ac:dyDescent="0.25"/>
  <cols>
    <col min="1" max="1" width="53.296875" customWidth="1"/>
    <col min="2" max="3" width="9.09765625" customWidth="1"/>
    <col min="4" max="4" width="2.09765625" customWidth="1"/>
    <col min="5" max="7" width="9.09765625" customWidth="1"/>
    <col min="8" max="8" width="2.09765625" customWidth="1"/>
    <col min="9" max="11" width="9.09765625" customWidth="1"/>
    <col min="12" max="12" width="2.09765625" customWidth="1"/>
  </cols>
  <sheetData>
    <row r="1" spans="1:12" ht="12" x14ac:dyDescent="0.3">
      <c r="A1" s="1" t="s">
        <v>0</v>
      </c>
    </row>
    <row r="2" spans="1:12" ht="12" x14ac:dyDescent="0.3">
      <c r="A2" s="1" t="s">
        <v>1</v>
      </c>
    </row>
    <row r="3" spans="1:12" ht="12" x14ac:dyDescent="0.3">
      <c r="A3" s="1" t="s">
        <v>2</v>
      </c>
    </row>
    <row r="4" spans="1:12" ht="12" x14ac:dyDescent="0.3">
      <c r="A4" s="2" t="s">
        <v>3</v>
      </c>
    </row>
    <row r="5" spans="1:12" ht="12" x14ac:dyDescent="0.3">
      <c r="A5" s="1" t="s">
        <v>322</v>
      </c>
    </row>
    <row r="6" spans="1:12" ht="12" x14ac:dyDescent="0.3">
      <c r="A6" s="2" t="s">
        <v>3</v>
      </c>
    </row>
    <row r="7" spans="1:12" ht="12" x14ac:dyDescent="0.3">
      <c r="A7" s="2" t="s">
        <v>3</v>
      </c>
    </row>
    <row r="8" spans="1:12" ht="12" x14ac:dyDescent="0.3">
      <c r="A8" s="2" t="s">
        <v>3</v>
      </c>
    </row>
    <row r="9" spans="1:12" ht="12" x14ac:dyDescent="0.3">
      <c r="A9" s="2" t="s">
        <v>3</v>
      </c>
    </row>
    <row r="10" spans="1:12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</row>
    <row r="11" spans="1:12" ht="12" x14ac:dyDescent="0.3">
      <c r="A11" s="2" t="s">
        <v>3</v>
      </c>
      <c r="B11" s="4">
        <v>2019</v>
      </c>
      <c r="E11" s="2" t="s">
        <v>3</v>
      </c>
      <c r="F11" s="4">
        <v>2018</v>
      </c>
      <c r="I11" s="2" t="s">
        <v>3</v>
      </c>
      <c r="J11" s="4">
        <v>2017</v>
      </c>
    </row>
    <row r="12" spans="1:12" ht="12" x14ac:dyDescent="0.3">
      <c r="A12" s="3" t="s">
        <v>237</v>
      </c>
      <c r="B12" s="7">
        <v>3352</v>
      </c>
      <c r="D12" s="2" t="s">
        <v>3</v>
      </c>
      <c r="E12" s="2" t="s">
        <v>3</v>
      </c>
      <c r="F12" s="7">
        <v>3142</v>
      </c>
      <c r="H12" s="2" t="s">
        <v>3</v>
      </c>
      <c r="I12" s="2" t="s">
        <v>3</v>
      </c>
      <c r="J12" s="7">
        <v>2853</v>
      </c>
      <c r="L12" s="2" t="s">
        <v>3</v>
      </c>
    </row>
    <row r="13" spans="1:12" ht="12" x14ac:dyDescent="0.3">
      <c r="A13" s="3" t="s">
        <v>323</v>
      </c>
      <c r="B13" s="5">
        <v>7</v>
      </c>
      <c r="D13" s="3" t="s">
        <v>291</v>
      </c>
      <c r="E13" s="2" t="s">
        <v>3</v>
      </c>
      <c r="F13" s="5">
        <v>10</v>
      </c>
      <c r="H13" s="3" t="s">
        <v>291</v>
      </c>
      <c r="I13" s="2" t="s">
        <v>3</v>
      </c>
      <c r="J13" s="5">
        <v>8</v>
      </c>
      <c r="L13" s="3" t="s">
        <v>291</v>
      </c>
    </row>
    <row r="14" spans="1:12" ht="12" x14ac:dyDescent="0.3">
      <c r="A14" s="3" t="s">
        <v>324</v>
      </c>
      <c r="B14" s="6">
        <v>2.2400000000000002</v>
      </c>
      <c r="D14" s="3" t="s">
        <v>291</v>
      </c>
      <c r="E14" s="2" t="s">
        <v>3</v>
      </c>
      <c r="F14" s="6">
        <v>2.27</v>
      </c>
      <c r="H14" s="3" t="s">
        <v>291</v>
      </c>
      <c r="I14" s="2" t="s">
        <v>3</v>
      </c>
      <c r="J14" s="6">
        <v>2.2599999999999998</v>
      </c>
      <c r="L14" s="3" t="s">
        <v>291</v>
      </c>
    </row>
    <row r="15" spans="1:12" ht="12" x14ac:dyDescent="0.3">
      <c r="A15" s="2" t="s">
        <v>3</v>
      </c>
    </row>
    <row r="16" spans="1:12" ht="12" x14ac:dyDescent="0.3">
      <c r="A16" s="2" t="s">
        <v>3</v>
      </c>
    </row>
    <row r="17" spans="1:1" ht="12" x14ac:dyDescent="0.3">
      <c r="A17" s="1" t="s">
        <v>8</v>
      </c>
    </row>
    <row r="18" spans="1:1" ht="12" x14ac:dyDescent="0.3">
      <c r="A18" s="1" t="s">
        <v>9</v>
      </c>
    </row>
    <row r="19" spans="1:1" ht="12" x14ac:dyDescent="0.3">
      <c r="A19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L20"/>
  <sheetViews>
    <sheetView workbookViewId="0">
      <selection activeCell="B14" sqref="B14:C14"/>
    </sheetView>
  </sheetViews>
  <sheetFormatPr defaultColWidth="10.3984375" defaultRowHeight="11.5" x14ac:dyDescent="0.25"/>
  <cols>
    <col min="1" max="1" width="28.296875" customWidth="1"/>
    <col min="2" max="3" width="9.09765625" customWidth="1"/>
    <col min="4" max="4" width="2.09765625" customWidth="1"/>
    <col min="5" max="7" width="9.09765625" customWidth="1"/>
    <col min="8" max="8" width="2.09765625" customWidth="1"/>
    <col min="9" max="11" width="9.09765625" customWidth="1"/>
    <col min="12" max="12" width="2.09765625" customWidth="1"/>
  </cols>
  <sheetData>
    <row r="1" spans="1:12" ht="12" x14ac:dyDescent="0.3">
      <c r="A1" s="1" t="s">
        <v>0</v>
      </c>
    </row>
    <row r="2" spans="1:12" ht="12" x14ac:dyDescent="0.3">
      <c r="A2" s="1" t="s">
        <v>1</v>
      </c>
    </row>
    <row r="3" spans="1:12" ht="12" x14ac:dyDescent="0.3">
      <c r="A3" s="1" t="s">
        <v>2</v>
      </c>
    </row>
    <row r="4" spans="1:12" ht="12" x14ac:dyDescent="0.3">
      <c r="A4" s="2" t="s">
        <v>3</v>
      </c>
    </row>
    <row r="5" spans="1:12" ht="12" x14ac:dyDescent="0.3">
      <c r="A5" s="1" t="s">
        <v>325</v>
      </c>
    </row>
    <row r="6" spans="1:12" ht="12" x14ac:dyDescent="0.3">
      <c r="A6" s="2" t="s">
        <v>3</v>
      </c>
    </row>
    <row r="7" spans="1:12" ht="12" x14ac:dyDescent="0.3">
      <c r="A7" s="2" t="s">
        <v>3</v>
      </c>
    </row>
    <row r="8" spans="1:12" ht="12" x14ac:dyDescent="0.3">
      <c r="A8" s="2" t="s">
        <v>3</v>
      </c>
    </row>
    <row r="9" spans="1:12" ht="12" x14ac:dyDescent="0.3">
      <c r="A9" s="2" t="s">
        <v>3</v>
      </c>
    </row>
    <row r="10" spans="1:12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</row>
    <row r="11" spans="1:12" ht="12" x14ac:dyDescent="0.3">
      <c r="A11" s="2" t="s">
        <v>3</v>
      </c>
      <c r="B11" s="4">
        <v>2019</v>
      </c>
      <c r="E11" s="2" t="s">
        <v>3</v>
      </c>
      <c r="F11" s="4">
        <v>2018</v>
      </c>
      <c r="I11" s="2" t="s">
        <v>3</v>
      </c>
      <c r="J11" s="4">
        <v>2017</v>
      </c>
    </row>
    <row r="12" spans="1:12" ht="12" x14ac:dyDescent="0.3">
      <c r="A12" s="3" t="s">
        <v>236</v>
      </c>
      <c r="B12" s="7">
        <v>149351</v>
      </c>
      <c r="D12" s="2" t="s">
        <v>3</v>
      </c>
      <c r="E12" s="2" t="s">
        <v>3</v>
      </c>
      <c r="F12" s="7">
        <v>138434</v>
      </c>
      <c r="H12" s="2" t="s">
        <v>3</v>
      </c>
      <c r="I12" s="2" t="s">
        <v>3</v>
      </c>
      <c r="J12" s="7">
        <v>126172</v>
      </c>
      <c r="L12" s="2" t="s">
        <v>3</v>
      </c>
    </row>
    <row r="13" spans="1:12" ht="12" x14ac:dyDescent="0.3">
      <c r="A13" s="3" t="s">
        <v>326</v>
      </c>
      <c r="B13" s="5">
        <v>132886</v>
      </c>
      <c r="D13" s="2" t="s">
        <v>3</v>
      </c>
      <c r="E13" s="2" t="s">
        <v>3</v>
      </c>
      <c r="F13" s="5">
        <v>123152</v>
      </c>
      <c r="H13" s="2" t="s">
        <v>3</v>
      </c>
      <c r="I13" s="2" t="s">
        <v>3</v>
      </c>
      <c r="J13" s="5">
        <v>111882</v>
      </c>
      <c r="L13" s="2" t="s">
        <v>3</v>
      </c>
    </row>
    <row r="14" spans="1:12" ht="12" x14ac:dyDescent="0.3">
      <c r="A14" s="3" t="s">
        <v>327</v>
      </c>
      <c r="B14" s="7">
        <v>16465</v>
      </c>
      <c r="D14" s="2" t="s">
        <v>3</v>
      </c>
      <c r="E14" s="2" t="s">
        <v>3</v>
      </c>
      <c r="F14" s="7">
        <v>15282</v>
      </c>
      <c r="H14" s="2" t="s">
        <v>3</v>
      </c>
      <c r="I14" s="2" t="s">
        <v>3</v>
      </c>
      <c r="J14" s="7">
        <v>14290</v>
      </c>
      <c r="L14" s="2" t="s">
        <v>3</v>
      </c>
    </row>
    <row r="15" spans="1:12" ht="12" x14ac:dyDescent="0.3">
      <c r="A15" s="3" t="s">
        <v>328</v>
      </c>
      <c r="B15" s="6">
        <v>11.02</v>
      </c>
      <c r="D15" s="3" t="s">
        <v>291</v>
      </c>
      <c r="E15" s="2" t="s">
        <v>3</v>
      </c>
      <c r="F15" s="6">
        <v>11.04</v>
      </c>
      <c r="H15" s="3" t="s">
        <v>291</v>
      </c>
      <c r="I15" s="2" t="s">
        <v>3</v>
      </c>
      <c r="J15" s="6">
        <v>11.33</v>
      </c>
      <c r="L15" s="3" t="s">
        <v>291</v>
      </c>
    </row>
    <row r="16" spans="1:12" ht="12" x14ac:dyDescent="0.3">
      <c r="A16" s="2" t="s">
        <v>3</v>
      </c>
    </row>
    <row r="17" spans="1:1" ht="12" x14ac:dyDescent="0.3">
      <c r="A17" s="2" t="s">
        <v>3</v>
      </c>
    </row>
    <row r="18" spans="1:1" ht="12" x14ac:dyDescent="0.3">
      <c r="A18" s="1" t="s">
        <v>8</v>
      </c>
    </row>
    <row r="19" spans="1:1" ht="12" x14ac:dyDescent="0.3">
      <c r="A19" s="1" t="s">
        <v>9</v>
      </c>
    </row>
    <row r="20" spans="1:1" ht="12" x14ac:dyDescent="0.3">
      <c r="A20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18"/>
  <sheetViews>
    <sheetView workbookViewId="0">
      <selection activeCell="H23" sqref="H23"/>
    </sheetView>
  </sheetViews>
  <sheetFormatPr defaultColWidth="10.3984375" defaultRowHeight="11.5" x14ac:dyDescent="0.25"/>
  <cols>
    <col min="1" max="1" width="50.8984375" customWidth="1"/>
    <col min="2" max="3" width="9.09765625" customWidth="1"/>
    <col min="4" max="4" width="2.09765625" customWidth="1"/>
    <col min="5" max="7" width="9.09765625" customWidth="1"/>
    <col min="8" max="8" width="2.09765625" customWidth="1"/>
    <col min="9" max="11" width="9.09765625" customWidth="1"/>
    <col min="12" max="12" width="2.09765625" customWidth="1"/>
  </cols>
  <sheetData>
    <row r="1" spans="1:12" ht="12" x14ac:dyDescent="0.3">
      <c r="A1" s="1" t="s">
        <v>0</v>
      </c>
    </row>
    <row r="2" spans="1:12" ht="12" x14ac:dyDescent="0.3">
      <c r="A2" s="1" t="s">
        <v>1</v>
      </c>
    </row>
    <row r="3" spans="1:12" ht="12" x14ac:dyDescent="0.3">
      <c r="A3" s="1" t="s">
        <v>2</v>
      </c>
    </row>
    <row r="4" spans="1:12" ht="12" x14ac:dyDescent="0.3">
      <c r="A4" s="2" t="s">
        <v>3</v>
      </c>
    </row>
    <row r="5" spans="1:12" ht="12" x14ac:dyDescent="0.3">
      <c r="A5" s="1" t="s">
        <v>329</v>
      </c>
    </row>
    <row r="6" spans="1:12" ht="12" x14ac:dyDescent="0.3">
      <c r="A6" s="2" t="s">
        <v>3</v>
      </c>
    </row>
    <row r="7" spans="1:12" ht="12" x14ac:dyDescent="0.3">
      <c r="A7" s="2" t="s">
        <v>3</v>
      </c>
    </row>
    <row r="8" spans="1:12" ht="12" x14ac:dyDescent="0.3">
      <c r="A8" s="2" t="s">
        <v>3</v>
      </c>
    </row>
    <row r="9" spans="1:12" ht="12" x14ac:dyDescent="0.3">
      <c r="A9" s="2" t="s">
        <v>3</v>
      </c>
    </row>
    <row r="10" spans="1:12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</row>
    <row r="11" spans="1:12" ht="12" x14ac:dyDescent="0.3">
      <c r="A11" s="2" t="s">
        <v>3</v>
      </c>
      <c r="B11" s="4">
        <v>2019</v>
      </c>
      <c r="E11" s="2" t="s">
        <v>3</v>
      </c>
      <c r="F11" s="4">
        <v>2018</v>
      </c>
      <c r="I11" s="2" t="s">
        <v>3</v>
      </c>
      <c r="J11" s="4">
        <v>2017</v>
      </c>
    </row>
    <row r="12" spans="1:12" ht="12" x14ac:dyDescent="0.3">
      <c r="A12" s="3" t="s">
        <v>330</v>
      </c>
      <c r="B12" s="7">
        <v>14994</v>
      </c>
      <c r="D12" s="2" t="s">
        <v>3</v>
      </c>
      <c r="E12" s="2" t="s">
        <v>3</v>
      </c>
      <c r="F12" s="7">
        <v>13876</v>
      </c>
      <c r="H12" s="2" t="s">
        <v>3</v>
      </c>
      <c r="I12" s="2" t="s">
        <v>3</v>
      </c>
      <c r="J12" s="7">
        <v>12950</v>
      </c>
      <c r="L12" s="2" t="s">
        <v>3</v>
      </c>
    </row>
    <row r="13" spans="1:12" ht="12" x14ac:dyDescent="0.3">
      <c r="A13" s="3" t="s">
        <v>331</v>
      </c>
      <c r="B13" s="6">
        <v>10.039999999999999</v>
      </c>
      <c r="D13" s="3" t="s">
        <v>291</v>
      </c>
      <c r="E13" s="2" t="s">
        <v>3</v>
      </c>
      <c r="F13" s="6">
        <v>10.02</v>
      </c>
      <c r="H13" s="3" t="s">
        <v>291</v>
      </c>
      <c r="I13" s="2" t="s">
        <v>3</v>
      </c>
      <c r="J13" s="6">
        <v>10.26</v>
      </c>
      <c r="L13" s="3" t="s">
        <v>291</v>
      </c>
    </row>
    <row r="14" spans="1:12" ht="12" x14ac:dyDescent="0.3">
      <c r="A14" s="2" t="s">
        <v>3</v>
      </c>
    </row>
    <row r="15" spans="1:12" ht="12" x14ac:dyDescent="0.3">
      <c r="A15" s="2" t="s">
        <v>3</v>
      </c>
    </row>
    <row r="16" spans="1:12" ht="12" x14ac:dyDescent="0.3">
      <c r="A16" s="1" t="s">
        <v>8</v>
      </c>
    </row>
    <row r="17" spans="1:1" ht="12" x14ac:dyDescent="0.3">
      <c r="A17" s="1" t="s">
        <v>9</v>
      </c>
    </row>
    <row r="18" spans="1:1" ht="12" x14ac:dyDescent="0.3">
      <c r="A18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L22"/>
  <sheetViews>
    <sheetView workbookViewId="0">
      <selection activeCell="H23" sqref="H23"/>
    </sheetView>
  </sheetViews>
  <sheetFormatPr defaultColWidth="10.3984375" defaultRowHeight="11.5" x14ac:dyDescent="0.25"/>
  <cols>
    <col min="1" max="1" width="56.8984375" customWidth="1"/>
    <col min="2" max="12" width="9.09765625" customWidth="1"/>
  </cols>
  <sheetData>
    <row r="1" spans="1:12" ht="12" x14ac:dyDescent="0.3">
      <c r="A1" s="1" t="s">
        <v>0</v>
      </c>
    </row>
    <row r="2" spans="1:12" ht="12" x14ac:dyDescent="0.3">
      <c r="A2" s="1" t="s">
        <v>1</v>
      </c>
    </row>
    <row r="3" spans="1:12" ht="12" x14ac:dyDescent="0.3">
      <c r="A3" s="1" t="s">
        <v>2</v>
      </c>
    </row>
    <row r="4" spans="1:12" ht="12" x14ac:dyDescent="0.3">
      <c r="A4" s="2" t="s">
        <v>3</v>
      </c>
    </row>
    <row r="5" spans="1:12" ht="12" x14ac:dyDescent="0.3">
      <c r="A5" s="1" t="s">
        <v>332</v>
      </c>
    </row>
    <row r="6" spans="1:12" ht="12" x14ac:dyDescent="0.3">
      <c r="A6" s="2" t="s">
        <v>3</v>
      </c>
    </row>
    <row r="7" spans="1:12" ht="12" x14ac:dyDescent="0.3">
      <c r="A7" s="2" t="s">
        <v>3</v>
      </c>
    </row>
    <row r="8" spans="1:12" ht="12" x14ac:dyDescent="0.3">
      <c r="A8" s="2" t="s">
        <v>3</v>
      </c>
    </row>
    <row r="9" spans="1:12" ht="12" x14ac:dyDescent="0.3">
      <c r="A9" s="2" t="s">
        <v>3</v>
      </c>
    </row>
    <row r="10" spans="1:12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</row>
    <row r="11" spans="1:12" ht="12" x14ac:dyDescent="0.3">
      <c r="A11" s="2" t="s">
        <v>3</v>
      </c>
      <c r="B11" s="4">
        <v>2019</v>
      </c>
      <c r="E11" s="2" t="s">
        <v>3</v>
      </c>
      <c r="F11" s="4">
        <v>2018</v>
      </c>
      <c r="I11" s="2" t="s">
        <v>3</v>
      </c>
      <c r="J11" s="4">
        <v>2017</v>
      </c>
    </row>
    <row r="12" spans="1:12" ht="12" x14ac:dyDescent="0.3">
      <c r="A12" s="3" t="s">
        <v>245</v>
      </c>
      <c r="B12" s="7">
        <v>86</v>
      </c>
      <c r="D12" s="2" t="s">
        <v>3</v>
      </c>
      <c r="E12" s="2" t="s">
        <v>3</v>
      </c>
      <c r="F12" s="7">
        <v>68</v>
      </c>
      <c r="H12" s="2" t="s">
        <v>3</v>
      </c>
      <c r="I12" s="2" t="s">
        <v>3</v>
      </c>
      <c r="J12" s="7">
        <v>82</v>
      </c>
      <c r="L12" s="2" t="s">
        <v>3</v>
      </c>
    </row>
    <row r="13" spans="1:12" ht="12" x14ac:dyDescent="0.3">
      <c r="A13" s="3" t="s">
        <v>333</v>
      </c>
      <c r="B13" s="2" t="s">
        <v>3</v>
      </c>
      <c r="E13" s="2" t="s">
        <v>3</v>
      </c>
      <c r="F13" s="2" t="s">
        <v>3</v>
      </c>
      <c r="I13" s="2" t="s">
        <v>3</v>
      </c>
      <c r="J13" s="2" t="s">
        <v>3</v>
      </c>
    </row>
    <row r="14" spans="1:12" ht="12" x14ac:dyDescent="0.3">
      <c r="A14" s="3" t="s">
        <v>262</v>
      </c>
      <c r="B14" s="5">
        <v>18</v>
      </c>
      <c r="D14" s="2" t="s">
        <v>3</v>
      </c>
      <c r="E14" s="2" t="s">
        <v>3</v>
      </c>
      <c r="F14" s="5">
        <v>17</v>
      </c>
      <c r="H14" s="2" t="s">
        <v>3</v>
      </c>
      <c r="I14" s="2" t="s">
        <v>3</v>
      </c>
      <c r="J14" s="5">
        <v>15</v>
      </c>
      <c r="L14" s="2" t="s">
        <v>3</v>
      </c>
    </row>
    <row r="15" spans="1:12" ht="12" x14ac:dyDescent="0.3">
      <c r="A15" s="3" t="s">
        <v>151</v>
      </c>
      <c r="B15" s="5">
        <v>3</v>
      </c>
      <c r="D15" s="2" t="s">
        <v>3</v>
      </c>
      <c r="E15" s="2" t="s">
        <v>3</v>
      </c>
      <c r="F15" s="5">
        <v>3</v>
      </c>
      <c r="H15" s="2" t="s">
        <v>3</v>
      </c>
      <c r="I15" s="2" t="s">
        <v>3</v>
      </c>
      <c r="J15" s="5">
        <v>6</v>
      </c>
      <c r="L15" s="2" t="s">
        <v>3</v>
      </c>
    </row>
    <row r="16" spans="1:12" ht="12" x14ac:dyDescent="0.3">
      <c r="A16" s="3" t="s">
        <v>164</v>
      </c>
      <c r="B16" s="5">
        <v>4</v>
      </c>
      <c r="D16" s="2" t="s">
        <v>3</v>
      </c>
      <c r="E16" s="2" t="s">
        <v>3</v>
      </c>
      <c r="F16" s="5">
        <v>5</v>
      </c>
      <c r="H16" s="2" t="s">
        <v>3</v>
      </c>
      <c r="I16" s="2" t="s">
        <v>3</v>
      </c>
      <c r="J16" s="5">
        <v>7</v>
      </c>
      <c r="L16" s="2" t="s">
        <v>3</v>
      </c>
    </row>
    <row r="17" spans="1:12" ht="12" x14ac:dyDescent="0.3">
      <c r="A17" s="1" t="s">
        <v>334</v>
      </c>
      <c r="B17" s="5">
        <v>25</v>
      </c>
      <c r="D17" s="2" t="s">
        <v>3</v>
      </c>
      <c r="E17" s="2" t="s">
        <v>3</v>
      </c>
      <c r="F17" s="5">
        <v>25</v>
      </c>
      <c r="H17" s="2" t="s">
        <v>3</v>
      </c>
      <c r="I17" s="2" t="s">
        <v>3</v>
      </c>
      <c r="J17" s="5">
        <v>28</v>
      </c>
      <c r="L17" s="2" t="s">
        <v>3</v>
      </c>
    </row>
    <row r="18" spans="1:12" ht="12" x14ac:dyDescent="0.3">
      <c r="A18" s="2" t="s">
        <v>3</v>
      </c>
    </row>
    <row r="19" spans="1:12" ht="12" x14ac:dyDescent="0.3">
      <c r="A19" s="2" t="s">
        <v>3</v>
      </c>
    </row>
    <row r="20" spans="1:12" ht="12" x14ac:dyDescent="0.3">
      <c r="A20" s="1" t="s">
        <v>8</v>
      </c>
    </row>
    <row r="21" spans="1:12" ht="12" x14ac:dyDescent="0.3">
      <c r="A21" s="1" t="s">
        <v>9</v>
      </c>
    </row>
    <row r="22" spans="1:12" ht="12" x14ac:dyDescent="0.3">
      <c r="A22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5"/>
  <sheetViews>
    <sheetView topLeftCell="A9" workbookViewId="0">
      <selection activeCell="B27" sqref="B27"/>
    </sheetView>
  </sheetViews>
  <sheetFormatPr defaultColWidth="10.3984375" defaultRowHeight="11.5" x14ac:dyDescent="0.25"/>
  <cols>
    <col min="1" max="1" width="10.5" customWidth="1"/>
    <col min="2" max="2" width="58.09765625" customWidth="1"/>
    <col min="3" max="3" width="5.69921875" customWidth="1"/>
  </cols>
  <sheetData>
    <row r="1" spans="1:3" ht="12" x14ac:dyDescent="0.3">
      <c r="A1" s="1" t="s">
        <v>0</v>
      </c>
    </row>
    <row r="2" spans="1:3" ht="12" x14ac:dyDescent="0.3">
      <c r="A2" s="1" t="s">
        <v>1</v>
      </c>
    </row>
    <row r="3" spans="1:3" ht="12" x14ac:dyDescent="0.3">
      <c r="A3" s="1" t="s">
        <v>2</v>
      </c>
    </row>
    <row r="4" spans="1:3" ht="12" x14ac:dyDescent="0.3">
      <c r="A4" s="2" t="s">
        <v>3</v>
      </c>
    </row>
    <row r="5" spans="1:3" ht="12" x14ac:dyDescent="0.3">
      <c r="A5" s="1" t="s">
        <v>18</v>
      </c>
    </row>
    <row r="6" spans="1:3" ht="12" x14ac:dyDescent="0.3">
      <c r="A6" s="2" t="s">
        <v>3</v>
      </c>
    </row>
    <row r="7" spans="1:3" ht="12" x14ac:dyDescent="0.3">
      <c r="A7" s="2" t="s">
        <v>3</v>
      </c>
    </row>
    <row r="8" spans="1:3" ht="12" x14ac:dyDescent="0.3">
      <c r="A8" s="2" t="s">
        <v>3</v>
      </c>
    </row>
    <row r="9" spans="1:3" ht="12" x14ac:dyDescent="0.3">
      <c r="A9" s="2" t="s">
        <v>3</v>
      </c>
    </row>
    <row r="10" spans="1:3" ht="12" x14ac:dyDescent="0.3">
      <c r="A10" s="2" t="s">
        <v>3</v>
      </c>
      <c r="B10" s="2" t="s">
        <v>3</v>
      </c>
      <c r="C10" s="2" t="s">
        <v>3</v>
      </c>
    </row>
    <row r="11" spans="1:3" ht="12" x14ac:dyDescent="0.3">
      <c r="A11" s="2" t="s">
        <v>3</v>
      </c>
      <c r="B11" s="2" t="s">
        <v>3</v>
      </c>
      <c r="C11" s="3" t="s">
        <v>19</v>
      </c>
    </row>
    <row r="12" spans="1:3" ht="12" x14ac:dyDescent="0.3">
      <c r="A12" s="1" t="s">
        <v>20</v>
      </c>
      <c r="B12" s="2" t="s">
        <v>3</v>
      </c>
      <c r="C12" s="2" t="s">
        <v>3</v>
      </c>
    </row>
    <row r="13" spans="1:3" ht="12" x14ac:dyDescent="0.3">
      <c r="A13" s="3" t="s">
        <v>21</v>
      </c>
      <c r="B13" s="3" t="s">
        <v>22</v>
      </c>
      <c r="C13" s="5">
        <v>3</v>
      </c>
    </row>
    <row r="14" spans="1:3" ht="12" x14ac:dyDescent="0.3">
      <c r="A14" s="3" t="s">
        <v>23</v>
      </c>
      <c r="B14" s="3" t="s">
        <v>24</v>
      </c>
      <c r="C14" s="5">
        <v>8</v>
      </c>
    </row>
    <row r="15" spans="1:3" ht="12" x14ac:dyDescent="0.3">
      <c r="A15" s="3" t="s">
        <v>25</v>
      </c>
      <c r="B15" s="3" t="s">
        <v>26</v>
      </c>
      <c r="C15" s="5">
        <v>16</v>
      </c>
    </row>
    <row r="16" spans="1:3" ht="12" x14ac:dyDescent="0.3">
      <c r="A16" s="3" t="s">
        <v>27</v>
      </c>
      <c r="B16" s="3" t="s">
        <v>28</v>
      </c>
      <c r="C16" s="5">
        <v>16</v>
      </c>
    </row>
    <row r="17" spans="1:3" ht="12" x14ac:dyDescent="0.3">
      <c r="A17" s="3" t="s">
        <v>29</v>
      </c>
      <c r="B17" s="3" t="s">
        <v>30</v>
      </c>
      <c r="C17" s="5">
        <v>17</v>
      </c>
    </row>
    <row r="18" spans="1:3" ht="12" x14ac:dyDescent="0.3">
      <c r="A18" s="3" t="s">
        <v>31</v>
      </c>
      <c r="B18" s="3" t="s">
        <v>32</v>
      </c>
      <c r="C18" s="5">
        <v>17</v>
      </c>
    </row>
    <row r="19" spans="1:3" ht="12" x14ac:dyDescent="0.3">
      <c r="A19" s="2" t="s">
        <v>3</v>
      </c>
      <c r="B19" s="2" t="s">
        <v>3</v>
      </c>
      <c r="C19" s="2" t="s">
        <v>3</v>
      </c>
    </row>
    <row r="20" spans="1:3" ht="12" x14ac:dyDescent="0.3">
      <c r="A20" s="1" t="s">
        <v>33</v>
      </c>
      <c r="B20" s="2" t="s">
        <v>3</v>
      </c>
      <c r="C20" s="2" t="s">
        <v>3</v>
      </c>
    </row>
    <row r="21" spans="1:3" ht="12" x14ac:dyDescent="0.3">
      <c r="A21" s="3" t="s">
        <v>34</v>
      </c>
      <c r="B21" s="3" t="s">
        <v>35</v>
      </c>
      <c r="C21" s="5">
        <v>17</v>
      </c>
    </row>
    <row r="22" spans="1:3" ht="12" x14ac:dyDescent="0.3">
      <c r="A22" s="2" t="s">
        <v>3</v>
      </c>
      <c r="B22" s="3" t="s">
        <v>36</v>
      </c>
    </row>
    <row r="23" spans="1:3" ht="12" x14ac:dyDescent="0.3">
      <c r="A23" s="2" t="s">
        <v>3</v>
      </c>
      <c r="B23" s="3" t="s">
        <v>37</v>
      </c>
    </row>
    <row r="24" spans="1:3" ht="12" x14ac:dyDescent="0.3">
      <c r="A24" s="3" t="s">
        <v>38</v>
      </c>
      <c r="B24" s="3" t="s">
        <v>39</v>
      </c>
      <c r="C24" s="5">
        <v>19</v>
      </c>
    </row>
    <row r="25" spans="1:3" ht="12" x14ac:dyDescent="0.3">
      <c r="A25" s="3" t="s">
        <v>40</v>
      </c>
      <c r="B25" s="3" t="s">
        <v>41</v>
      </c>
      <c r="C25" s="5">
        <v>20</v>
      </c>
    </row>
    <row r="26" spans="1:3" ht="12" x14ac:dyDescent="0.3">
      <c r="A26" s="2" t="s">
        <v>3</v>
      </c>
      <c r="B26" s="3" t="s">
        <v>42</v>
      </c>
    </row>
    <row r="27" spans="1:3" ht="12" x14ac:dyDescent="0.3">
      <c r="A27" s="3" t="s">
        <v>43</v>
      </c>
      <c r="B27" s="3" t="s">
        <v>44</v>
      </c>
      <c r="C27" s="5">
        <v>28</v>
      </c>
    </row>
    <row r="28" spans="1:3" ht="12" x14ac:dyDescent="0.3">
      <c r="A28" s="2" t="s">
        <v>3</v>
      </c>
      <c r="B28" s="3" t="s">
        <v>45</v>
      </c>
    </row>
    <row r="29" spans="1:3" ht="12" x14ac:dyDescent="0.3">
      <c r="A29" s="3" t="s">
        <v>46</v>
      </c>
      <c r="B29" s="3" t="s">
        <v>47</v>
      </c>
      <c r="C29" s="5">
        <v>30</v>
      </c>
    </row>
    <row r="30" spans="1:3" ht="12" x14ac:dyDescent="0.3">
      <c r="A30" s="2" t="s">
        <v>3</v>
      </c>
      <c r="B30" s="3" t="s">
        <v>48</v>
      </c>
    </row>
    <row r="31" spans="1:3" ht="12" x14ac:dyDescent="0.3">
      <c r="A31" s="3" t="s">
        <v>49</v>
      </c>
      <c r="B31" s="3" t="s">
        <v>50</v>
      </c>
      <c r="C31" s="5">
        <v>62</v>
      </c>
    </row>
    <row r="32" spans="1:3" ht="12" x14ac:dyDescent="0.3">
      <c r="A32" s="2" t="s">
        <v>3</v>
      </c>
      <c r="B32" s="3" t="s">
        <v>51</v>
      </c>
    </row>
    <row r="33" spans="1:3" ht="12" x14ac:dyDescent="0.3">
      <c r="A33" s="3" t="s">
        <v>52</v>
      </c>
      <c r="B33" s="3" t="s">
        <v>53</v>
      </c>
      <c r="C33" s="5">
        <v>62</v>
      </c>
    </row>
    <row r="34" spans="1:3" ht="12" x14ac:dyDescent="0.3">
      <c r="A34" s="3" t="s">
        <v>54</v>
      </c>
      <c r="B34" s="3" t="s">
        <v>55</v>
      </c>
      <c r="C34" s="5">
        <v>63</v>
      </c>
    </row>
    <row r="35" spans="1:3" ht="12" x14ac:dyDescent="0.3">
      <c r="A35" s="2" t="s">
        <v>3</v>
      </c>
      <c r="B35" s="2" t="s">
        <v>3</v>
      </c>
      <c r="C35" s="2" t="s">
        <v>3</v>
      </c>
    </row>
    <row r="36" spans="1:3" ht="12" x14ac:dyDescent="0.3">
      <c r="A36" s="1" t="s">
        <v>56</v>
      </c>
      <c r="B36" s="2" t="s">
        <v>3</v>
      </c>
      <c r="C36" s="2" t="s">
        <v>3</v>
      </c>
    </row>
    <row r="37" spans="1:3" ht="12" x14ac:dyDescent="0.3">
      <c r="A37" s="3" t="s">
        <v>57</v>
      </c>
      <c r="B37" s="3" t="s">
        <v>58</v>
      </c>
      <c r="C37" s="5">
        <v>63</v>
      </c>
    </row>
    <row r="38" spans="1:3" ht="12" x14ac:dyDescent="0.3">
      <c r="A38" s="2" t="s">
        <v>3</v>
      </c>
      <c r="B38" s="3" t="s">
        <v>59</v>
      </c>
    </row>
    <row r="39" spans="1:3" ht="12" x14ac:dyDescent="0.3">
      <c r="A39" s="3" t="s">
        <v>60</v>
      </c>
      <c r="B39" s="3" t="s">
        <v>61</v>
      </c>
      <c r="C39" s="5">
        <v>63</v>
      </c>
    </row>
    <row r="40" spans="1:3" ht="12" x14ac:dyDescent="0.3">
      <c r="A40" s="3" t="s">
        <v>62</v>
      </c>
      <c r="B40" s="3" t="s">
        <v>63</v>
      </c>
      <c r="C40" s="5">
        <v>63</v>
      </c>
    </row>
    <row r="41" spans="1:3" ht="12" x14ac:dyDescent="0.3">
      <c r="A41" s="2" t="s">
        <v>3</v>
      </c>
      <c r="B41" s="3" t="s">
        <v>64</v>
      </c>
    </row>
    <row r="42" spans="1:3" ht="12" x14ac:dyDescent="0.3">
      <c r="A42" s="2" t="s">
        <v>3</v>
      </c>
      <c r="B42" s="3" t="s">
        <v>65</v>
      </c>
    </row>
    <row r="43" spans="1:3" ht="12" x14ac:dyDescent="0.3">
      <c r="A43" s="3" t="s">
        <v>66</v>
      </c>
      <c r="B43" s="3" t="s">
        <v>67</v>
      </c>
      <c r="C43" s="5">
        <v>64</v>
      </c>
    </row>
    <row r="44" spans="1:3" ht="12" x14ac:dyDescent="0.3">
      <c r="A44" s="2" t="s">
        <v>3</v>
      </c>
      <c r="B44" s="3" t="s">
        <v>68</v>
      </c>
    </row>
    <row r="45" spans="1:3" ht="12" x14ac:dyDescent="0.3">
      <c r="A45" s="3" t="s">
        <v>69</v>
      </c>
      <c r="B45" s="3" t="s">
        <v>70</v>
      </c>
      <c r="C45" s="5">
        <v>64</v>
      </c>
    </row>
    <row r="46" spans="1:3" ht="12" x14ac:dyDescent="0.3">
      <c r="A46" s="2" t="s">
        <v>3</v>
      </c>
      <c r="B46" s="2" t="s">
        <v>3</v>
      </c>
      <c r="C46" s="2" t="s">
        <v>3</v>
      </c>
    </row>
    <row r="47" spans="1:3" ht="12" x14ac:dyDescent="0.3">
      <c r="A47" s="1" t="s">
        <v>71</v>
      </c>
      <c r="B47" s="2" t="s">
        <v>3</v>
      </c>
      <c r="C47" s="2" t="s">
        <v>3</v>
      </c>
    </row>
    <row r="48" spans="1:3" ht="12" x14ac:dyDescent="0.3">
      <c r="A48" s="3" t="s">
        <v>72</v>
      </c>
      <c r="B48" s="3" t="s">
        <v>73</v>
      </c>
      <c r="C48" s="5">
        <v>64</v>
      </c>
    </row>
    <row r="49" spans="1:3" ht="12" x14ac:dyDescent="0.3">
      <c r="A49" s="3" t="s">
        <v>74</v>
      </c>
      <c r="B49" s="3" t="s">
        <v>75</v>
      </c>
      <c r="C49" s="5">
        <v>65</v>
      </c>
    </row>
    <row r="50" spans="1:3" ht="12" x14ac:dyDescent="0.3">
      <c r="A50" s="2" t="s">
        <v>3</v>
      </c>
      <c r="B50" s="3" t="s">
        <v>76</v>
      </c>
      <c r="C50" s="5">
        <v>66</v>
      </c>
    </row>
    <row r="51" spans="1:3" ht="12" x14ac:dyDescent="0.3">
      <c r="A51" s="2" t="s">
        <v>3</v>
      </c>
    </row>
    <row r="52" spans="1:3" ht="12" x14ac:dyDescent="0.3">
      <c r="A52" s="2" t="s">
        <v>3</v>
      </c>
    </row>
    <row r="53" spans="1:3" ht="12" x14ac:dyDescent="0.3">
      <c r="A53" s="1" t="s">
        <v>8</v>
      </c>
    </row>
    <row r="54" spans="1:3" ht="12" x14ac:dyDescent="0.3">
      <c r="A54" s="1" t="s">
        <v>9</v>
      </c>
    </row>
    <row r="55" spans="1:3" ht="12" x14ac:dyDescent="0.3">
      <c r="A55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L21"/>
  <sheetViews>
    <sheetView workbookViewId="0">
      <selection activeCell="H23" sqref="H23"/>
    </sheetView>
  </sheetViews>
  <sheetFormatPr defaultColWidth="10.3984375" defaultRowHeight="11.5" x14ac:dyDescent="0.25"/>
  <cols>
    <col min="1" max="1" width="53.296875" customWidth="1"/>
    <col min="2" max="12" width="9.09765625" customWidth="1"/>
  </cols>
  <sheetData>
    <row r="1" spans="1:12" ht="12" x14ac:dyDescent="0.3">
      <c r="A1" s="1" t="s">
        <v>0</v>
      </c>
    </row>
    <row r="2" spans="1:12" ht="12" x14ac:dyDescent="0.3">
      <c r="A2" s="1" t="s">
        <v>1</v>
      </c>
    </row>
    <row r="3" spans="1:12" ht="12" x14ac:dyDescent="0.3">
      <c r="A3" s="1" t="s">
        <v>2</v>
      </c>
    </row>
    <row r="4" spans="1:12" ht="12" x14ac:dyDescent="0.3">
      <c r="A4" s="2" t="s">
        <v>3</v>
      </c>
    </row>
    <row r="5" spans="1:12" ht="12" x14ac:dyDescent="0.3">
      <c r="A5" s="1" t="s">
        <v>335</v>
      </c>
    </row>
    <row r="6" spans="1:12" ht="12" x14ac:dyDescent="0.3">
      <c r="A6" s="2" t="s">
        <v>3</v>
      </c>
    </row>
    <row r="7" spans="1:12" ht="12" x14ac:dyDescent="0.3">
      <c r="A7" s="2" t="s">
        <v>3</v>
      </c>
    </row>
    <row r="8" spans="1:12" ht="12" x14ac:dyDescent="0.3">
      <c r="A8" s="2" t="s">
        <v>3</v>
      </c>
    </row>
    <row r="9" spans="1:12" ht="12" x14ac:dyDescent="0.3">
      <c r="A9" s="2" t="s">
        <v>3</v>
      </c>
    </row>
    <row r="10" spans="1:12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</row>
    <row r="11" spans="1:12" ht="12" x14ac:dyDescent="0.3">
      <c r="A11" s="2" t="s">
        <v>3</v>
      </c>
      <c r="B11" s="4">
        <v>2019</v>
      </c>
      <c r="E11" s="2" t="s">
        <v>3</v>
      </c>
      <c r="F11" s="4">
        <v>2018</v>
      </c>
      <c r="I11" s="2" t="s">
        <v>3</v>
      </c>
      <c r="J11" s="4">
        <v>2017</v>
      </c>
    </row>
    <row r="12" spans="1:12" ht="12" x14ac:dyDescent="0.3">
      <c r="A12" s="3" t="s">
        <v>336</v>
      </c>
      <c r="B12" s="7">
        <v>126</v>
      </c>
      <c r="D12" s="2" t="s">
        <v>3</v>
      </c>
      <c r="E12" s="2" t="s">
        <v>3</v>
      </c>
      <c r="F12" s="7">
        <v>75</v>
      </c>
      <c r="H12" s="2" t="s">
        <v>3</v>
      </c>
      <c r="I12" s="2" t="s">
        <v>3</v>
      </c>
      <c r="J12" s="7">
        <v>50</v>
      </c>
      <c r="L12" s="2" t="s">
        <v>3</v>
      </c>
    </row>
    <row r="13" spans="1:12" ht="12" x14ac:dyDescent="0.3">
      <c r="A13" s="3" t="s">
        <v>337</v>
      </c>
      <c r="B13" s="5">
        <v>27</v>
      </c>
      <c r="D13" s="2" t="s">
        <v>3</v>
      </c>
      <c r="E13" s="2" t="s">
        <v>3</v>
      </c>
      <c r="F13" s="5">
        <v>23</v>
      </c>
      <c r="H13" s="2" t="s">
        <v>3</v>
      </c>
      <c r="I13" s="2" t="s">
        <v>3</v>
      </c>
      <c r="J13" s="5">
        <v>-5</v>
      </c>
      <c r="L13" s="3" t="s">
        <v>3</v>
      </c>
    </row>
    <row r="14" spans="1:12" ht="12" x14ac:dyDescent="0.3">
      <c r="A14" s="3" t="s">
        <v>338</v>
      </c>
    </row>
    <row r="15" spans="1:12" ht="12" x14ac:dyDescent="0.3">
      <c r="A15" s="3" t="s">
        <v>339</v>
      </c>
      <c r="B15" s="5">
        <v>25</v>
      </c>
      <c r="D15" s="2" t="s">
        <v>3</v>
      </c>
      <c r="E15" s="2" t="s">
        <v>3</v>
      </c>
      <c r="F15" s="5">
        <v>23</v>
      </c>
      <c r="H15" s="2" t="s">
        <v>3</v>
      </c>
      <c r="I15" s="2" t="s">
        <v>3</v>
      </c>
      <c r="J15" s="5">
        <v>17</v>
      </c>
      <c r="L15" s="2" t="s">
        <v>3</v>
      </c>
    </row>
    <row r="16" spans="1:12" ht="12" x14ac:dyDescent="0.3">
      <c r="A16" s="3" t="s">
        <v>250</v>
      </c>
      <c r="B16" s="7">
        <v>178</v>
      </c>
      <c r="D16" s="2" t="s">
        <v>3</v>
      </c>
      <c r="E16" s="2" t="s">
        <v>3</v>
      </c>
      <c r="F16" s="7">
        <v>121</v>
      </c>
      <c r="H16" s="2" t="s">
        <v>3</v>
      </c>
      <c r="I16" s="2" t="s">
        <v>3</v>
      </c>
      <c r="J16" s="7">
        <v>62</v>
      </c>
      <c r="L16" s="2" t="s">
        <v>3</v>
      </c>
    </row>
    <row r="17" spans="1:1" ht="12" x14ac:dyDescent="0.3">
      <c r="A17" s="2" t="s">
        <v>3</v>
      </c>
    </row>
    <row r="18" spans="1:1" ht="12" x14ac:dyDescent="0.3">
      <c r="A18" s="2" t="s">
        <v>3</v>
      </c>
    </row>
    <row r="19" spans="1:1" ht="12" x14ac:dyDescent="0.3">
      <c r="A19" s="1" t="s">
        <v>8</v>
      </c>
    </row>
    <row r="20" spans="1:1" ht="12" x14ac:dyDescent="0.3">
      <c r="A20" s="1" t="s">
        <v>9</v>
      </c>
    </row>
    <row r="21" spans="1:1" ht="12" x14ac:dyDescent="0.3">
      <c r="A21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L18"/>
  <sheetViews>
    <sheetView workbookViewId="0">
      <selection activeCell="H23" sqref="H23"/>
    </sheetView>
  </sheetViews>
  <sheetFormatPr defaultColWidth="10.3984375" defaultRowHeight="11.5" x14ac:dyDescent="0.25"/>
  <cols>
    <col min="1" max="1" width="31.8984375" customWidth="1"/>
    <col min="2" max="3" width="9.09765625" customWidth="1"/>
    <col min="4" max="4" width="2.09765625" customWidth="1"/>
    <col min="5" max="7" width="9.09765625" customWidth="1"/>
    <col min="8" max="8" width="2.09765625" customWidth="1"/>
    <col min="9" max="11" width="9.09765625" customWidth="1"/>
    <col min="12" max="12" width="2.09765625" customWidth="1"/>
  </cols>
  <sheetData>
    <row r="1" spans="1:12" ht="12" x14ac:dyDescent="0.3">
      <c r="A1" s="1" t="s">
        <v>0</v>
      </c>
    </row>
    <row r="2" spans="1:12" ht="12" x14ac:dyDescent="0.3">
      <c r="A2" s="1" t="s">
        <v>1</v>
      </c>
    </row>
    <row r="3" spans="1:12" ht="12" x14ac:dyDescent="0.3">
      <c r="A3" s="1" t="s">
        <v>2</v>
      </c>
    </row>
    <row r="4" spans="1:12" ht="12" x14ac:dyDescent="0.3">
      <c r="A4" s="2" t="s">
        <v>3</v>
      </c>
    </row>
    <row r="5" spans="1:12" ht="12" x14ac:dyDescent="0.3">
      <c r="A5" s="1" t="s">
        <v>340</v>
      </c>
    </row>
    <row r="6" spans="1:12" ht="12" x14ac:dyDescent="0.3">
      <c r="A6" s="2" t="s">
        <v>3</v>
      </c>
    </row>
    <row r="7" spans="1:12" ht="12" x14ac:dyDescent="0.3">
      <c r="A7" s="2" t="s">
        <v>3</v>
      </c>
    </row>
    <row r="8" spans="1:12" ht="12" x14ac:dyDescent="0.3">
      <c r="A8" s="2" t="s">
        <v>3</v>
      </c>
    </row>
    <row r="9" spans="1:12" ht="12" x14ac:dyDescent="0.3">
      <c r="A9" s="2" t="s">
        <v>3</v>
      </c>
    </row>
    <row r="10" spans="1:12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</row>
    <row r="11" spans="1:12" ht="12" x14ac:dyDescent="0.3">
      <c r="A11" s="2" t="s">
        <v>3</v>
      </c>
      <c r="B11" s="4">
        <v>2019</v>
      </c>
      <c r="E11" s="2" t="s">
        <v>3</v>
      </c>
      <c r="F11" s="4">
        <v>2018</v>
      </c>
      <c r="I11" s="2" t="s">
        <v>3</v>
      </c>
      <c r="J11" s="4">
        <v>2017</v>
      </c>
    </row>
    <row r="12" spans="1:12" ht="12" x14ac:dyDescent="0.3">
      <c r="A12" s="3" t="s">
        <v>252</v>
      </c>
      <c r="B12" s="7">
        <v>1061</v>
      </c>
      <c r="D12" s="2" t="s">
        <v>3</v>
      </c>
      <c r="E12" s="2" t="s">
        <v>3</v>
      </c>
      <c r="F12" s="7">
        <v>1263</v>
      </c>
      <c r="H12" s="2" t="s">
        <v>3</v>
      </c>
      <c r="I12" s="2" t="s">
        <v>3</v>
      </c>
      <c r="J12" s="7">
        <v>1325</v>
      </c>
      <c r="L12" s="2" t="s">
        <v>3</v>
      </c>
    </row>
    <row r="13" spans="1:12" ht="12" x14ac:dyDescent="0.3">
      <c r="A13" s="3" t="s">
        <v>341</v>
      </c>
      <c r="B13" s="6">
        <v>22.3</v>
      </c>
      <c r="D13" s="3" t="s">
        <v>291</v>
      </c>
      <c r="E13" s="2" t="s">
        <v>3</v>
      </c>
      <c r="F13" s="6">
        <v>28.4</v>
      </c>
      <c r="H13" s="3" t="s">
        <v>291</v>
      </c>
      <c r="I13" s="2" t="s">
        <v>3</v>
      </c>
      <c r="J13" s="6">
        <v>32.799999999999997</v>
      </c>
      <c r="L13" s="3" t="s">
        <v>291</v>
      </c>
    </row>
    <row r="14" spans="1:12" ht="12" x14ac:dyDescent="0.3">
      <c r="A14" s="2" t="s">
        <v>3</v>
      </c>
    </row>
    <row r="15" spans="1:12" ht="12" x14ac:dyDescent="0.3">
      <c r="A15" s="2" t="s">
        <v>3</v>
      </c>
    </row>
    <row r="16" spans="1:12" ht="12" x14ac:dyDescent="0.3">
      <c r="A16" s="1" t="s">
        <v>8</v>
      </c>
    </row>
    <row r="17" spans="1:1" ht="12" x14ac:dyDescent="0.3">
      <c r="A17" s="1" t="s">
        <v>9</v>
      </c>
    </row>
    <row r="18" spans="1:1" ht="12" x14ac:dyDescent="0.3">
      <c r="A18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L19"/>
  <sheetViews>
    <sheetView workbookViewId="0">
      <selection activeCell="H23" sqref="H23"/>
    </sheetView>
  </sheetViews>
  <sheetFormatPr defaultColWidth="10.3984375" defaultRowHeight="11.5" x14ac:dyDescent="0.25"/>
  <cols>
    <col min="1" max="1" width="49.796875" customWidth="1"/>
    <col min="2" max="12" width="9.09765625" customWidth="1"/>
  </cols>
  <sheetData>
    <row r="1" spans="1:12" ht="12" x14ac:dyDescent="0.3">
      <c r="A1" s="1" t="s">
        <v>0</v>
      </c>
    </row>
    <row r="2" spans="1:12" ht="12" x14ac:dyDescent="0.3">
      <c r="A2" s="1" t="s">
        <v>1</v>
      </c>
    </row>
    <row r="3" spans="1:12" ht="12" x14ac:dyDescent="0.3">
      <c r="A3" s="1" t="s">
        <v>2</v>
      </c>
    </row>
    <row r="4" spans="1:12" ht="12" x14ac:dyDescent="0.3">
      <c r="A4" s="2" t="s">
        <v>3</v>
      </c>
    </row>
    <row r="5" spans="1:12" ht="12" x14ac:dyDescent="0.3">
      <c r="A5" s="1" t="s">
        <v>342</v>
      </c>
    </row>
    <row r="6" spans="1:12" ht="12" x14ac:dyDescent="0.3">
      <c r="A6" s="2" t="s">
        <v>3</v>
      </c>
    </row>
    <row r="7" spans="1:12" ht="12" x14ac:dyDescent="0.3">
      <c r="A7" s="2" t="s">
        <v>3</v>
      </c>
    </row>
    <row r="8" spans="1:12" ht="12" x14ac:dyDescent="0.3">
      <c r="A8" s="2" t="s">
        <v>3</v>
      </c>
    </row>
    <row r="9" spans="1:12" ht="12" x14ac:dyDescent="0.3">
      <c r="A9" s="2" t="s">
        <v>3</v>
      </c>
    </row>
    <row r="10" spans="1:12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</row>
    <row r="11" spans="1:12" ht="12" x14ac:dyDescent="0.3">
      <c r="A11" s="2" t="s">
        <v>3</v>
      </c>
      <c r="B11" s="4">
        <v>2019</v>
      </c>
      <c r="E11" s="2" t="s">
        <v>3</v>
      </c>
      <c r="F11" s="4">
        <v>2018</v>
      </c>
      <c r="I11" s="2" t="s">
        <v>3</v>
      </c>
      <c r="J11" s="4">
        <v>2017</v>
      </c>
    </row>
    <row r="12" spans="1:12" ht="12" x14ac:dyDescent="0.3">
      <c r="A12" s="3" t="s">
        <v>343</v>
      </c>
      <c r="B12" s="7">
        <v>6356</v>
      </c>
      <c r="D12" s="2" t="s">
        <v>3</v>
      </c>
      <c r="E12" s="2" t="s">
        <v>3</v>
      </c>
      <c r="F12" s="7">
        <v>5774</v>
      </c>
      <c r="H12" s="2" t="s">
        <v>3</v>
      </c>
      <c r="I12" s="2" t="s">
        <v>3</v>
      </c>
      <c r="J12" s="7">
        <v>6726</v>
      </c>
      <c r="L12" s="2" t="s">
        <v>3</v>
      </c>
    </row>
    <row r="13" spans="1:12" ht="12" x14ac:dyDescent="0.3">
      <c r="A13" s="3" t="s">
        <v>344</v>
      </c>
      <c r="B13" s="5">
        <v>-2865</v>
      </c>
      <c r="D13" s="3" t="s">
        <v>3</v>
      </c>
      <c r="E13" s="2" t="s">
        <v>3</v>
      </c>
      <c r="F13" s="5">
        <v>-2947</v>
      </c>
      <c r="H13" s="3" t="s">
        <v>3</v>
      </c>
      <c r="I13" s="2" t="s">
        <v>3</v>
      </c>
      <c r="J13" s="5">
        <v>-2366</v>
      </c>
      <c r="L13" s="3" t="s">
        <v>3</v>
      </c>
    </row>
    <row r="14" spans="1:12" ht="12" x14ac:dyDescent="0.3">
      <c r="A14" s="3" t="s">
        <v>345</v>
      </c>
      <c r="B14" s="5">
        <v>-1147</v>
      </c>
      <c r="D14" s="3" t="s">
        <v>3</v>
      </c>
      <c r="E14" s="2" t="s">
        <v>3</v>
      </c>
      <c r="F14" s="5">
        <v>-1281</v>
      </c>
      <c r="H14" s="3" t="s">
        <v>3</v>
      </c>
      <c r="I14" s="2" t="s">
        <v>3</v>
      </c>
      <c r="J14" s="5">
        <v>-3218</v>
      </c>
      <c r="L14" s="3" t="s">
        <v>3</v>
      </c>
    </row>
    <row r="15" spans="1:12" ht="12" x14ac:dyDescent="0.3">
      <c r="A15" s="2" t="s">
        <v>3</v>
      </c>
    </row>
    <row r="16" spans="1:12" ht="12" x14ac:dyDescent="0.3">
      <c r="A16" s="2" t="s">
        <v>3</v>
      </c>
    </row>
    <row r="17" spans="1:1" ht="12" x14ac:dyDescent="0.3">
      <c r="A17" s="1" t="s">
        <v>8</v>
      </c>
    </row>
    <row r="18" spans="1:1" ht="12" x14ac:dyDescent="0.3">
      <c r="A18" s="1" t="s">
        <v>9</v>
      </c>
    </row>
    <row r="19" spans="1:1" ht="12" x14ac:dyDescent="0.3">
      <c r="A19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T26"/>
  <sheetViews>
    <sheetView workbookViewId="0">
      <selection activeCell="B16" sqref="B16"/>
    </sheetView>
  </sheetViews>
  <sheetFormatPr defaultColWidth="10.3984375" defaultRowHeight="11.5" x14ac:dyDescent="0.25"/>
  <cols>
    <col min="1" max="1" width="49.796875" customWidth="1"/>
    <col min="2" max="20" width="9.09765625" customWidth="1"/>
  </cols>
  <sheetData>
    <row r="1" spans="1:20" ht="12" x14ac:dyDescent="0.3">
      <c r="A1" s="1" t="s">
        <v>0</v>
      </c>
    </row>
    <row r="2" spans="1:20" ht="12" x14ac:dyDescent="0.3">
      <c r="A2" s="1" t="s">
        <v>1</v>
      </c>
    </row>
    <row r="3" spans="1:20" ht="12" x14ac:dyDescent="0.3">
      <c r="A3" s="1" t="s">
        <v>2</v>
      </c>
    </row>
    <row r="4" spans="1:20" ht="12" x14ac:dyDescent="0.3">
      <c r="A4" s="2" t="s">
        <v>3</v>
      </c>
    </row>
    <row r="5" spans="1:20" ht="12" x14ac:dyDescent="0.3">
      <c r="A5" s="1" t="s">
        <v>346</v>
      </c>
    </row>
    <row r="6" spans="1:20" ht="12" x14ac:dyDescent="0.3">
      <c r="A6" s="2" t="s">
        <v>3</v>
      </c>
    </row>
    <row r="7" spans="1:20" ht="12" x14ac:dyDescent="0.3">
      <c r="A7" s="2" t="s">
        <v>3</v>
      </c>
    </row>
    <row r="8" spans="1:20" ht="12" x14ac:dyDescent="0.3">
      <c r="A8" s="2" t="s">
        <v>3</v>
      </c>
    </row>
    <row r="9" spans="1:20" ht="12" x14ac:dyDescent="0.3">
      <c r="A9" s="2" t="s">
        <v>3</v>
      </c>
    </row>
    <row r="10" spans="1:20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  <c r="M10" s="2" t="s">
        <v>3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 t="s">
        <v>3</v>
      </c>
      <c r="T10" s="2" t="s">
        <v>3</v>
      </c>
    </row>
    <row r="11" spans="1:20" ht="12" x14ac:dyDescent="0.3">
      <c r="A11" s="2" t="s">
        <v>3</v>
      </c>
      <c r="B11" s="3" t="s">
        <v>347</v>
      </c>
    </row>
    <row r="12" spans="1:20" ht="12" x14ac:dyDescent="0.3">
      <c r="A12" s="3" t="s">
        <v>348</v>
      </c>
      <c r="B12" s="4">
        <v>2020</v>
      </c>
      <c r="E12" s="2" t="s">
        <v>3</v>
      </c>
      <c r="F12" s="3" t="s">
        <v>349</v>
      </c>
      <c r="I12" s="2" t="s">
        <v>3</v>
      </c>
      <c r="J12" s="3" t="s">
        <v>350</v>
      </c>
      <c r="M12" s="2" t="s">
        <v>3</v>
      </c>
      <c r="N12" s="3" t="s">
        <v>351</v>
      </c>
      <c r="Q12" s="2" t="s">
        <v>3</v>
      </c>
      <c r="R12" s="3" t="s">
        <v>146</v>
      </c>
    </row>
    <row r="13" spans="1:20" ht="12" x14ac:dyDescent="0.3">
      <c r="A13" s="3" t="s">
        <v>352</v>
      </c>
      <c r="B13" s="7">
        <v>8752</v>
      </c>
      <c r="D13" s="2" t="s">
        <v>3</v>
      </c>
      <c r="E13" s="2" t="s">
        <v>3</v>
      </c>
      <c r="F13" s="7">
        <v>4</v>
      </c>
      <c r="H13" s="2" t="s">
        <v>3</v>
      </c>
      <c r="I13" s="2" t="s">
        <v>3</v>
      </c>
      <c r="J13" s="3" t="s">
        <v>353</v>
      </c>
      <c r="L13" s="2" t="s">
        <v>3</v>
      </c>
      <c r="M13" s="2" t="s">
        <v>3</v>
      </c>
      <c r="N13" s="3" t="s">
        <v>353</v>
      </c>
      <c r="P13" s="2" t="s">
        <v>3</v>
      </c>
      <c r="Q13" s="2" t="s">
        <v>3</v>
      </c>
      <c r="R13" s="7">
        <v>8756</v>
      </c>
      <c r="T13" s="2" t="s">
        <v>3</v>
      </c>
    </row>
    <row r="14" spans="1:20" ht="12" x14ac:dyDescent="0.3">
      <c r="A14" s="3" t="s">
        <v>354</v>
      </c>
      <c r="B14" s="5">
        <v>1828</v>
      </c>
      <c r="D14" s="2" t="s">
        <v>3</v>
      </c>
      <c r="E14" s="2" t="s">
        <v>3</v>
      </c>
      <c r="F14" s="5">
        <v>2594</v>
      </c>
      <c r="H14" s="2" t="s">
        <v>3</v>
      </c>
      <c r="I14" s="2" t="s">
        <v>3</v>
      </c>
      <c r="J14" s="5">
        <v>1330</v>
      </c>
      <c r="L14" s="2" t="s">
        <v>3</v>
      </c>
      <c r="M14" s="2" t="s">
        <v>3</v>
      </c>
      <c r="N14" s="5">
        <v>1651</v>
      </c>
      <c r="P14" s="2" t="s">
        <v>3</v>
      </c>
      <c r="Q14" s="2" t="s">
        <v>3</v>
      </c>
      <c r="R14" s="5">
        <v>7403</v>
      </c>
      <c r="T14" s="2" t="s">
        <v>3</v>
      </c>
    </row>
    <row r="15" spans="1:20" ht="12" x14ac:dyDescent="0.3">
      <c r="A15" s="3" t="s">
        <v>355</v>
      </c>
      <c r="B15" s="5">
        <v>239</v>
      </c>
      <c r="D15" s="2" t="s">
        <v>3</v>
      </c>
      <c r="E15" s="2" t="s">
        <v>3</v>
      </c>
      <c r="F15" s="5">
        <v>431</v>
      </c>
      <c r="H15" s="2" t="s">
        <v>3</v>
      </c>
      <c r="I15" s="2" t="s">
        <v>3</v>
      </c>
      <c r="J15" s="5">
        <v>374</v>
      </c>
      <c r="L15" s="2" t="s">
        <v>3</v>
      </c>
      <c r="M15" s="2" t="s">
        <v>3</v>
      </c>
      <c r="N15" s="5">
        <v>2206</v>
      </c>
      <c r="P15" s="2" t="s">
        <v>3</v>
      </c>
      <c r="Q15" s="2" t="s">
        <v>3</v>
      </c>
      <c r="R15" s="5">
        <v>3250</v>
      </c>
      <c r="T15" s="2" t="s">
        <v>3</v>
      </c>
    </row>
    <row r="16" spans="1:20" ht="12" x14ac:dyDescent="0.3">
      <c r="A16" s="3" t="s">
        <v>356</v>
      </c>
      <c r="B16" s="5">
        <v>606</v>
      </c>
      <c r="D16" s="2" t="s">
        <v>3</v>
      </c>
      <c r="E16" s="2" t="s">
        <v>3</v>
      </c>
      <c r="F16" s="5">
        <v>8</v>
      </c>
      <c r="H16" s="2" t="s">
        <v>3</v>
      </c>
      <c r="I16" s="2" t="s">
        <v>3</v>
      </c>
      <c r="J16" s="3" t="s">
        <v>157</v>
      </c>
      <c r="L16" s="2" t="s">
        <v>3</v>
      </c>
      <c r="M16" s="2" t="s">
        <v>3</v>
      </c>
      <c r="N16" s="3" t="s">
        <v>157</v>
      </c>
      <c r="P16" s="2" t="s">
        <v>3</v>
      </c>
      <c r="Q16" s="2" t="s">
        <v>3</v>
      </c>
      <c r="R16" s="5">
        <v>614</v>
      </c>
      <c r="T16" s="2" t="s">
        <v>3</v>
      </c>
    </row>
    <row r="17" spans="1:20" ht="12" x14ac:dyDescent="0.3">
      <c r="A17" s="3" t="s">
        <v>357</v>
      </c>
      <c r="B17" s="5">
        <v>51</v>
      </c>
      <c r="D17" s="2" t="s">
        <v>3</v>
      </c>
      <c r="E17" s="2" t="s">
        <v>3</v>
      </c>
      <c r="F17" s="5">
        <v>91</v>
      </c>
      <c r="H17" s="2" t="s">
        <v>3</v>
      </c>
      <c r="I17" s="2" t="s">
        <v>3</v>
      </c>
      <c r="J17" s="5">
        <v>78</v>
      </c>
      <c r="L17" s="2" t="s">
        <v>3</v>
      </c>
      <c r="M17" s="2" t="s">
        <v>3</v>
      </c>
      <c r="N17" s="5">
        <v>544</v>
      </c>
      <c r="P17" s="2" t="s">
        <v>3</v>
      </c>
      <c r="Q17" s="2" t="s">
        <v>3</v>
      </c>
      <c r="R17" s="5">
        <v>764</v>
      </c>
      <c r="T17" s="2" t="s">
        <v>3</v>
      </c>
    </row>
    <row r="18" spans="1:20" ht="12" x14ac:dyDescent="0.3">
      <c r="A18" s="3" t="s">
        <v>358</v>
      </c>
      <c r="B18" s="5">
        <v>538</v>
      </c>
      <c r="D18" s="2" t="s">
        <v>3</v>
      </c>
      <c r="E18" s="2" t="s">
        <v>3</v>
      </c>
      <c r="F18" s="5">
        <v>176</v>
      </c>
      <c r="H18" s="2" t="s">
        <v>3</v>
      </c>
      <c r="I18" s="2" t="s">
        <v>3</v>
      </c>
      <c r="J18" s="5">
        <v>33</v>
      </c>
      <c r="L18" s="2" t="s">
        <v>3</v>
      </c>
      <c r="M18" s="2" t="s">
        <v>3</v>
      </c>
      <c r="N18" s="5">
        <v>65</v>
      </c>
      <c r="P18" s="2" t="s">
        <v>3</v>
      </c>
      <c r="Q18" s="2" t="s">
        <v>3</v>
      </c>
      <c r="R18" s="5">
        <v>812</v>
      </c>
      <c r="T18" s="2" t="s">
        <v>3</v>
      </c>
    </row>
    <row r="19" spans="1:20" ht="12" x14ac:dyDescent="0.3">
      <c r="A19" s="3" t="s">
        <v>359</v>
      </c>
    </row>
    <row r="20" spans="1:20" ht="12" x14ac:dyDescent="0.3">
      <c r="A20" s="3" t="s">
        <v>360</v>
      </c>
      <c r="B20" s="5">
        <v>18</v>
      </c>
      <c r="D20" s="2" t="s">
        <v>3</v>
      </c>
      <c r="E20" s="2" t="s">
        <v>3</v>
      </c>
      <c r="F20" s="5">
        <v>28</v>
      </c>
      <c r="H20" s="2" t="s">
        <v>3</v>
      </c>
      <c r="I20" s="2" t="s">
        <v>3</v>
      </c>
      <c r="J20" s="5">
        <v>23</v>
      </c>
      <c r="L20" s="2" t="s">
        <v>3</v>
      </c>
      <c r="M20" s="2" t="s">
        <v>3</v>
      </c>
      <c r="N20" s="5">
        <v>96</v>
      </c>
      <c r="P20" s="2" t="s">
        <v>3</v>
      </c>
      <c r="Q20" s="2" t="s">
        <v>3</v>
      </c>
      <c r="R20" s="5">
        <v>165</v>
      </c>
      <c r="T20" s="2" t="s">
        <v>3</v>
      </c>
    </row>
    <row r="21" spans="1:20" ht="12" x14ac:dyDescent="0.3">
      <c r="A21" s="1" t="s">
        <v>146</v>
      </c>
      <c r="B21" s="7">
        <v>12032</v>
      </c>
      <c r="D21" s="2" t="s">
        <v>3</v>
      </c>
      <c r="E21" s="2" t="s">
        <v>3</v>
      </c>
      <c r="F21" s="7">
        <v>3332</v>
      </c>
      <c r="H21" s="2" t="s">
        <v>3</v>
      </c>
      <c r="I21" s="2" t="s">
        <v>3</v>
      </c>
      <c r="J21" s="7">
        <v>1838</v>
      </c>
      <c r="L21" s="2" t="s">
        <v>3</v>
      </c>
      <c r="M21" s="2" t="s">
        <v>3</v>
      </c>
      <c r="N21" s="7">
        <v>4562</v>
      </c>
      <c r="P21" s="2" t="s">
        <v>3</v>
      </c>
      <c r="Q21" s="2" t="s">
        <v>3</v>
      </c>
      <c r="R21" s="7">
        <v>21764</v>
      </c>
      <c r="T21" s="2" t="s">
        <v>3</v>
      </c>
    </row>
    <row r="22" spans="1:20" ht="12" x14ac:dyDescent="0.3">
      <c r="A22" s="2" t="s">
        <v>3</v>
      </c>
    </row>
    <row r="23" spans="1:20" ht="12" x14ac:dyDescent="0.3">
      <c r="A23" s="2" t="s">
        <v>3</v>
      </c>
    </row>
    <row r="24" spans="1:20" ht="12" x14ac:dyDescent="0.3">
      <c r="A24" s="1" t="s">
        <v>8</v>
      </c>
    </row>
    <row r="25" spans="1:20" ht="12" x14ac:dyDescent="0.3">
      <c r="A25" s="1" t="s">
        <v>9</v>
      </c>
    </row>
    <row r="26" spans="1:20" ht="12" x14ac:dyDescent="0.3">
      <c r="A26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L25"/>
  <sheetViews>
    <sheetView workbookViewId="0">
      <selection activeCell="A23" sqref="A23:L23"/>
    </sheetView>
  </sheetViews>
  <sheetFormatPr defaultColWidth="10.3984375" defaultRowHeight="11.5" x14ac:dyDescent="0.25"/>
  <cols>
    <col min="1" max="1" width="54.5" customWidth="1"/>
    <col min="2" max="12" width="9.09765625" customWidth="1"/>
  </cols>
  <sheetData>
    <row r="1" spans="1:12" ht="12" x14ac:dyDescent="0.3">
      <c r="A1" s="1" t="s">
        <v>0</v>
      </c>
    </row>
    <row r="2" spans="1:12" ht="12" x14ac:dyDescent="0.3">
      <c r="A2" s="1" t="s">
        <v>1</v>
      </c>
    </row>
    <row r="3" spans="1:12" ht="12" x14ac:dyDescent="0.3">
      <c r="A3" s="1" t="s">
        <v>2</v>
      </c>
    </row>
    <row r="4" spans="1:12" ht="12" x14ac:dyDescent="0.3">
      <c r="A4" s="2" t="s">
        <v>3</v>
      </c>
    </row>
    <row r="5" spans="1:12" ht="12" x14ac:dyDescent="0.3">
      <c r="A5" s="1" t="s">
        <v>361</v>
      </c>
    </row>
    <row r="6" spans="1:12" ht="12" x14ac:dyDescent="0.3">
      <c r="A6" s="2" t="s">
        <v>3</v>
      </c>
    </row>
    <row r="7" spans="1:12" ht="12" x14ac:dyDescent="0.3">
      <c r="A7" s="2" t="s">
        <v>3</v>
      </c>
    </row>
    <row r="8" spans="1:12" ht="12" x14ac:dyDescent="0.3">
      <c r="A8" s="2" t="s">
        <v>3</v>
      </c>
    </row>
    <row r="9" spans="1:12" ht="12" x14ac:dyDescent="0.3">
      <c r="A9" s="2" t="s">
        <v>3</v>
      </c>
    </row>
    <row r="10" spans="1:12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</row>
    <row r="11" spans="1:12" ht="12" x14ac:dyDescent="0.3">
      <c r="A11" s="2" t="s">
        <v>3</v>
      </c>
      <c r="B11" s="3" t="s">
        <v>232</v>
      </c>
      <c r="E11" s="2" t="s">
        <v>3</v>
      </c>
      <c r="F11" s="3" t="s">
        <v>232</v>
      </c>
      <c r="I11" s="2" t="s">
        <v>3</v>
      </c>
      <c r="J11" s="3" t="s">
        <v>233</v>
      </c>
    </row>
    <row r="12" spans="1:12" ht="12" x14ac:dyDescent="0.3">
      <c r="A12" s="2" t="s">
        <v>3</v>
      </c>
      <c r="B12" s="3" t="s">
        <v>210</v>
      </c>
      <c r="E12" s="2" t="s">
        <v>3</v>
      </c>
      <c r="F12" s="3" t="s">
        <v>211</v>
      </c>
      <c r="I12" s="2" t="s">
        <v>3</v>
      </c>
      <c r="J12" s="3" t="s">
        <v>234</v>
      </c>
    </row>
    <row r="13" spans="1:12" ht="12" x14ac:dyDescent="0.3">
      <c r="A13" s="2" t="s">
        <v>3</v>
      </c>
      <c r="B13" s="4">
        <v>2019</v>
      </c>
      <c r="E13" s="2" t="s">
        <v>3</v>
      </c>
      <c r="F13" s="4">
        <v>2018</v>
      </c>
      <c r="I13" s="2" t="s">
        <v>3</v>
      </c>
      <c r="J13" s="4">
        <v>2017</v>
      </c>
    </row>
    <row r="14" spans="1:12" ht="12" x14ac:dyDescent="0.3">
      <c r="A14" s="1" t="s">
        <v>362</v>
      </c>
      <c r="B14" s="7">
        <v>3704</v>
      </c>
      <c r="D14" s="2" t="s">
        <v>3</v>
      </c>
      <c r="E14" s="2" t="s">
        <v>3</v>
      </c>
      <c r="F14" s="7">
        <v>3179</v>
      </c>
      <c r="H14" s="2" t="s">
        <v>3</v>
      </c>
      <c r="I14" s="2" t="s">
        <v>3</v>
      </c>
      <c r="J14" s="7">
        <v>2714</v>
      </c>
      <c r="L14" s="2" t="s">
        <v>3</v>
      </c>
    </row>
    <row r="15" spans="1:12" ht="12" x14ac:dyDescent="0.3">
      <c r="A15" s="3" t="s">
        <v>363</v>
      </c>
      <c r="B15" s="5">
        <v>-245</v>
      </c>
      <c r="D15" s="3" t="s">
        <v>3</v>
      </c>
      <c r="E15" s="2" t="s">
        <v>3</v>
      </c>
      <c r="F15" s="5">
        <v>-192</v>
      </c>
      <c r="H15" s="3" t="s">
        <v>3</v>
      </c>
      <c r="I15" s="2" t="s">
        <v>3</v>
      </c>
      <c r="J15" s="5">
        <v>98</v>
      </c>
      <c r="L15" s="2" t="s">
        <v>3</v>
      </c>
    </row>
    <row r="16" spans="1:12" ht="12" x14ac:dyDescent="0.3">
      <c r="A16" s="3" t="s">
        <v>364</v>
      </c>
    </row>
    <row r="17" spans="1:12" ht="12" x14ac:dyDescent="0.3">
      <c r="A17" s="3" t="s">
        <v>365</v>
      </c>
      <c r="B17" s="5">
        <v>3459</v>
      </c>
      <c r="D17" s="2" t="s">
        <v>3</v>
      </c>
      <c r="E17" s="2" t="s">
        <v>3</v>
      </c>
      <c r="F17" s="5">
        <v>2987</v>
      </c>
      <c r="H17" s="2" t="s">
        <v>3</v>
      </c>
      <c r="I17" s="2" t="s">
        <v>3</v>
      </c>
      <c r="J17" s="5">
        <v>2812</v>
      </c>
      <c r="L17" s="2" t="s">
        <v>3</v>
      </c>
    </row>
    <row r="18" spans="1:12" ht="12" x14ac:dyDescent="0.3">
      <c r="A18" s="3" t="s">
        <v>366</v>
      </c>
      <c r="B18" s="5">
        <v>37</v>
      </c>
      <c r="D18" s="2" t="s">
        <v>3</v>
      </c>
      <c r="E18" s="2" t="s">
        <v>3</v>
      </c>
      <c r="F18" s="5">
        <v>38</v>
      </c>
      <c r="H18" s="2" t="s">
        <v>3</v>
      </c>
      <c r="I18" s="2" t="s">
        <v>3</v>
      </c>
      <c r="J18" s="5">
        <v>48</v>
      </c>
      <c r="L18" s="2" t="s">
        <v>3</v>
      </c>
    </row>
    <row r="19" spans="1:12" ht="12" x14ac:dyDescent="0.3">
      <c r="A19" s="3" t="s">
        <v>367</v>
      </c>
    </row>
    <row r="20" spans="1:12" ht="12" x14ac:dyDescent="0.3">
      <c r="A20" s="1" t="s">
        <v>368</v>
      </c>
      <c r="B20" s="7">
        <v>3422</v>
      </c>
      <c r="D20" s="2" t="s">
        <v>3</v>
      </c>
      <c r="E20" s="2" t="s">
        <v>3</v>
      </c>
      <c r="F20" s="7">
        <v>2949</v>
      </c>
      <c r="H20" s="2" t="s">
        <v>3</v>
      </c>
      <c r="I20" s="2" t="s">
        <v>3</v>
      </c>
      <c r="J20" s="7">
        <v>2764</v>
      </c>
      <c r="L20" s="2" t="s">
        <v>3</v>
      </c>
    </row>
    <row r="21" spans="1:12" ht="12" x14ac:dyDescent="0.3">
      <c r="A21" s="1" t="s">
        <v>369</v>
      </c>
    </row>
    <row r="22" spans="1:12" ht="12" x14ac:dyDescent="0.3">
      <c r="A22" s="2" t="s">
        <v>3</v>
      </c>
    </row>
    <row r="23" spans="1:12" ht="12" x14ac:dyDescent="0.3">
      <c r="A23" s="1" t="s">
        <v>8</v>
      </c>
    </row>
    <row r="24" spans="1:12" ht="12" x14ac:dyDescent="0.3">
      <c r="A24" s="1" t="s">
        <v>9</v>
      </c>
    </row>
    <row r="25" spans="1:12" ht="12" x14ac:dyDescent="0.3">
      <c r="A25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Y46"/>
  <sheetViews>
    <sheetView workbookViewId="0">
      <selection activeCell="H23" sqref="H23"/>
    </sheetView>
  </sheetViews>
  <sheetFormatPr defaultColWidth="10.3984375" defaultRowHeight="11.5" x14ac:dyDescent="0.25"/>
  <cols>
    <col min="1" max="1" width="54.5" customWidth="1"/>
    <col min="2" max="2" width="13.09765625" customWidth="1"/>
    <col min="3" max="51" width="9.09765625" customWidth="1"/>
  </cols>
  <sheetData>
    <row r="1" spans="1:51" ht="12" x14ac:dyDescent="0.3">
      <c r="A1" s="1" t="s">
        <v>0</v>
      </c>
    </row>
    <row r="2" spans="1:51" ht="12" x14ac:dyDescent="0.3">
      <c r="A2" s="1" t="s">
        <v>1</v>
      </c>
    </row>
    <row r="3" spans="1:51" ht="12" x14ac:dyDescent="0.3">
      <c r="A3" s="1" t="s">
        <v>2</v>
      </c>
    </row>
    <row r="4" spans="1:51" ht="12" x14ac:dyDescent="0.3">
      <c r="A4" s="2" t="s">
        <v>3</v>
      </c>
    </row>
    <row r="5" spans="1:51" ht="12" x14ac:dyDescent="0.3">
      <c r="A5" s="1" t="s">
        <v>370</v>
      </c>
    </row>
    <row r="6" spans="1:51" ht="12" x14ac:dyDescent="0.3">
      <c r="A6" s="2" t="s">
        <v>3</v>
      </c>
    </row>
    <row r="7" spans="1:51" ht="12" x14ac:dyDescent="0.3">
      <c r="A7" s="2" t="s">
        <v>3</v>
      </c>
    </row>
    <row r="8" spans="1:51" ht="12" x14ac:dyDescent="0.3">
      <c r="A8" s="2" t="s">
        <v>3</v>
      </c>
    </row>
    <row r="9" spans="1:51" ht="12" x14ac:dyDescent="0.3">
      <c r="A9" s="2" t="s">
        <v>3</v>
      </c>
    </row>
    <row r="10" spans="1:51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  <c r="M10" s="2" t="s">
        <v>3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 t="s">
        <v>3</v>
      </c>
      <c r="T10" s="2" t="s">
        <v>3</v>
      </c>
      <c r="U10" s="2" t="s">
        <v>3</v>
      </c>
      <c r="V10" s="2" t="s">
        <v>3</v>
      </c>
      <c r="W10" s="2" t="s">
        <v>3</v>
      </c>
      <c r="X10" s="2" t="s">
        <v>3</v>
      </c>
      <c r="Y10" s="2" t="s">
        <v>3</v>
      </c>
      <c r="Z10" s="2" t="s">
        <v>3</v>
      </c>
      <c r="AA10" s="2" t="s">
        <v>3</v>
      </c>
      <c r="AB10" s="2" t="s">
        <v>3</v>
      </c>
      <c r="AC10" s="2" t="s">
        <v>3</v>
      </c>
      <c r="AD10" s="2" t="s">
        <v>3</v>
      </c>
      <c r="AE10" s="2" t="s">
        <v>3</v>
      </c>
    </row>
    <row r="11" spans="1:51" ht="12" x14ac:dyDescent="0.3">
      <c r="A11" s="2" t="s">
        <v>3</v>
      </c>
      <c r="B11" s="3" t="s">
        <v>371</v>
      </c>
      <c r="H11" s="2" t="s">
        <v>3</v>
      </c>
      <c r="I11" s="3" t="s">
        <v>372</v>
      </c>
      <c r="L11" s="2" t="s">
        <v>3</v>
      </c>
      <c r="M11" s="3" t="s">
        <v>373</v>
      </c>
      <c r="P11" s="2" t="s">
        <v>3</v>
      </c>
      <c r="Q11" s="3" t="s">
        <v>374</v>
      </c>
      <c r="T11" s="2" t="s">
        <v>3</v>
      </c>
      <c r="U11" s="3" t="s">
        <v>375</v>
      </c>
      <c r="X11" s="2" t="s">
        <v>3</v>
      </c>
      <c r="Y11" s="3" t="s">
        <v>376</v>
      </c>
      <c r="AB11" s="2" t="s">
        <v>3</v>
      </c>
      <c r="AC11" s="3" t="s">
        <v>146</v>
      </c>
    </row>
    <row r="12" spans="1:51" ht="12" x14ac:dyDescent="0.3">
      <c r="A12" s="2" t="s">
        <v>3</v>
      </c>
      <c r="B12" s="2" t="s">
        <v>3</v>
      </c>
      <c r="C12" s="2" t="s">
        <v>3</v>
      </c>
      <c r="D12" s="2" t="s">
        <v>3</v>
      </c>
      <c r="E12" s="2" t="s">
        <v>3</v>
      </c>
      <c r="F12" s="2" t="s">
        <v>3</v>
      </c>
      <c r="G12" s="2" t="s">
        <v>3</v>
      </c>
      <c r="H12" s="2" t="s">
        <v>3</v>
      </c>
      <c r="I12" s="3" t="s">
        <v>377</v>
      </c>
      <c r="L12" s="2" t="s">
        <v>3</v>
      </c>
      <c r="M12" s="3" t="s">
        <v>242</v>
      </c>
      <c r="P12" s="2" t="s">
        <v>3</v>
      </c>
      <c r="Q12" s="3" t="s">
        <v>378</v>
      </c>
      <c r="T12" s="2" t="s">
        <v>3</v>
      </c>
      <c r="U12" s="3" t="s">
        <v>379</v>
      </c>
      <c r="X12" s="2" t="s">
        <v>3</v>
      </c>
      <c r="Y12" s="3" t="s">
        <v>380</v>
      </c>
      <c r="AB12" s="2" t="s">
        <v>3</v>
      </c>
      <c r="AC12" s="3" t="s">
        <v>381</v>
      </c>
    </row>
    <row r="13" spans="1:51" ht="12" x14ac:dyDescent="0.3">
      <c r="A13" s="2" t="s">
        <v>3</v>
      </c>
      <c r="B13" s="2" t="s">
        <v>3</v>
      </c>
      <c r="C13" s="2" t="s">
        <v>3</v>
      </c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3" t="s">
        <v>382</v>
      </c>
      <c r="L13" s="2" t="s">
        <v>3</v>
      </c>
      <c r="M13" s="3" t="s">
        <v>383</v>
      </c>
      <c r="P13" s="2" t="s">
        <v>3</v>
      </c>
      <c r="Q13" s="2" t="s">
        <v>3</v>
      </c>
      <c r="R13" s="2" t="s">
        <v>3</v>
      </c>
      <c r="S13" s="2" t="s">
        <v>3</v>
      </c>
      <c r="T13" s="2" t="s">
        <v>3</v>
      </c>
      <c r="U13" s="3" t="s">
        <v>381</v>
      </c>
    </row>
    <row r="14" spans="1:51" ht="12" x14ac:dyDescent="0.3">
      <c r="A14" s="2" t="s">
        <v>3</v>
      </c>
      <c r="B14" s="3" t="s">
        <v>384</v>
      </c>
      <c r="D14" s="2" t="s">
        <v>3</v>
      </c>
      <c r="E14" s="3" t="s">
        <v>385</v>
      </c>
      <c r="H14" s="2" t="s">
        <v>3</v>
      </c>
      <c r="I14" s="2" t="s">
        <v>3</v>
      </c>
      <c r="J14" s="2" t="s">
        <v>3</v>
      </c>
      <c r="K14" s="2" t="s">
        <v>3</v>
      </c>
      <c r="L14" s="2" t="s">
        <v>3</v>
      </c>
      <c r="M14" s="3" t="s">
        <v>386</v>
      </c>
    </row>
    <row r="15" spans="1:51" ht="12" x14ac:dyDescent="0.3">
      <c r="A15" s="1" t="s">
        <v>387</v>
      </c>
      <c r="B15" s="5">
        <v>437524</v>
      </c>
      <c r="C15" s="2" t="s">
        <v>3</v>
      </c>
      <c r="D15" s="2" t="s">
        <v>3</v>
      </c>
      <c r="E15" s="7">
        <v>2</v>
      </c>
      <c r="G15" s="2" t="s">
        <v>3</v>
      </c>
      <c r="H15" s="2" t="s">
        <v>3</v>
      </c>
      <c r="I15" s="7">
        <v>5490</v>
      </c>
      <c r="K15" s="2" t="s">
        <v>3</v>
      </c>
      <c r="L15" s="2" t="s">
        <v>3</v>
      </c>
      <c r="M15" s="2" t="s">
        <v>3</v>
      </c>
      <c r="N15" s="2" t="s">
        <v>3</v>
      </c>
      <c r="O15" s="2" t="s">
        <v>3</v>
      </c>
      <c r="P15" s="2" t="s">
        <v>3</v>
      </c>
      <c r="Q15" s="2" t="s">
        <v>3</v>
      </c>
      <c r="R15" s="2" t="s">
        <v>3</v>
      </c>
      <c r="S15" s="2" t="s">
        <v>3</v>
      </c>
      <c r="T15" s="2" t="s">
        <v>3</v>
      </c>
      <c r="U15" s="2" t="s">
        <v>3</v>
      </c>
      <c r="V15" s="2" t="s">
        <v>3</v>
      </c>
      <c r="W15" s="2" t="s">
        <v>3</v>
      </c>
      <c r="X15" s="2" t="s">
        <v>3</v>
      </c>
      <c r="Y15" s="2" t="s">
        <v>3</v>
      </c>
      <c r="Z15" s="2" t="s">
        <v>3</v>
      </c>
      <c r="AA15" s="2" t="s">
        <v>3</v>
      </c>
      <c r="AB15" s="2" t="s">
        <v>3</v>
      </c>
      <c r="AC15" s="2" t="s">
        <v>3</v>
      </c>
      <c r="AD15" s="2" t="s">
        <v>3</v>
      </c>
      <c r="AE15" s="2" t="s">
        <v>3</v>
      </c>
      <c r="AF15" s="2" t="s">
        <v>3</v>
      </c>
      <c r="AG15" s="7">
        <v>-1099</v>
      </c>
      <c r="AI15" s="3" t="s">
        <v>3</v>
      </c>
      <c r="AJ15" s="2" t="s">
        <v>3</v>
      </c>
      <c r="AK15" s="7">
        <v>7686</v>
      </c>
      <c r="AM15" s="2" t="s">
        <v>3</v>
      </c>
      <c r="AN15" s="2" t="s">
        <v>3</v>
      </c>
      <c r="AO15" s="7">
        <v>12079</v>
      </c>
      <c r="AQ15" s="2" t="s">
        <v>3</v>
      </c>
      <c r="AR15" s="2" t="s">
        <v>3</v>
      </c>
      <c r="AS15" s="7">
        <v>253</v>
      </c>
      <c r="AU15" s="2" t="s">
        <v>3</v>
      </c>
      <c r="AV15" s="2" t="s">
        <v>3</v>
      </c>
      <c r="AW15" s="7">
        <v>12332</v>
      </c>
      <c r="AY15" s="2" t="s">
        <v>3</v>
      </c>
    </row>
    <row r="16" spans="1:51" ht="12" x14ac:dyDescent="0.3">
      <c r="A16" s="3" t="s">
        <v>388</v>
      </c>
      <c r="B16" s="3" t="s">
        <v>157</v>
      </c>
      <c r="C16" s="2" t="s">
        <v>3</v>
      </c>
      <c r="D16" s="2" t="s">
        <v>3</v>
      </c>
      <c r="E16" s="3" t="s">
        <v>157</v>
      </c>
      <c r="G16" s="2" t="s">
        <v>3</v>
      </c>
      <c r="H16" s="2" t="s">
        <v>3</v>
      </c>
      <c r="I16" s="3" t="s">
        <v>157</v>
      </c>
      <c r="K16" s="2" t="s">
        <v>3</v>
      </c>
      <c r="L16" s="2" t="s">
        <v>3</v>
      </c>
      <c r="M16" s="3" t="s">
        <v>157</v>
      </c>
      <c r="O16" s="2" t="s">
        <v>3</v>
      </c>
      <c r="P16" s="2" t="s">
        <v>3</v>
      </c>
      <c r="Q16" s="5">
        <v>2679</v>
      </c>
      <c r="S16" s="2" t="s">
        <v>3</v>
      </c>
      <c r="T16" s="2" t="s">
        <v>3</v>
      </c>
      <c r="U16" s="5">
        <v>2679</v>
      </c>
      <c r="W16" s="2" t="s">
        <v>3</v>
      </c>
      <c r="X16" s="2" t="s">
        <v>3</v>
      </c>
      <c r="Y16" s="5">
        <v>35</v>
      </c>
      <c r="AA16" s="2" t="s">
        <v>3</v>
      </c>
      <c r="AB16" s="2" t="s">
        <v>3</v>
      </c>
      <c r="AC16" s="5">
        <v>2714</v>
      </c>
      <c r="AE16" s="2" t="s">
        <v>3</v>
      </c>
    </row>
    <row r="17" spans="1:31" ht="12" x14ac:dyDescent="0.3">
      <c r="A17" s="3" t="s">
        <v>363</v>
      </c>
      <c r="B17" s="3" t="s">
        <v>157</v>
      </c>
      <c r="C17" s="2" t="s">
        <v>3</v>
      </c>
      <c r="D17" s="2" t="s">
        <v>3</v>
      </c>
      <c r="E17" s="3" t="s">
        <v>157</v>
      </c>
      <c r="G17" s="2" t="s">
        <v>3</v>
      </c>
      <c r="H17" s="2" t="s">
        <v>3</v>
      </c>
      <c r="I17" s="3" t="s">
        <v>157</v>
      </c>
      <c r="K17" s="2" t="s">
        <v>3</v>
      </c>
      <c r="L17" s="2" t="s">
        <v>3</v>
      </c>
      <c r="M17" s="5">
        <v>85</v>
      </c>
      <c r="O17" s="2" t="s">
        <v>3</v>
      </c>
      <c r="P17" s="2" t="s">
        <v>3</v>
      </c>
      <c r="Q17" s="3" t="s">
        <v>157</v>
      </c>
      <c r="S17" s="2" t="s">
        <v>3</v>
      </c>
      <c r="T17" s="2" t="s">
        <v>3</v>
      </c>
      <c r="U17" s="5">
        <v>85</v>
      </c>
      <c r="W17" s="2" t="s">
        <v>3</v>
      </c>
      <c r="X17" s="2" t="s">
        <v>3</v>
      </c>
      <c r="Y17" s="5">
        <v>13</v>
      </c>
      <c r="AA17" s="2" t="s">
        <v>3</v>
      </c>
      <c r="AB17" s="2" t="s">
        <v>3</v>
      </c>
      <c r="AC17" s="5">
        <v>98</v>
      </c>
      <c r="AE17" s="2" t="s">
        <v>3</v>
      </c>
    </row>
    <row r="18" spans="1:31" ht="12" x14ac:dyDescent="0.3">
      <c r="A18" s="3" t="s">
        <v>364</v>
      </c>
    </row>
    <row r="19" spans="1:31" ht="12" x14ac:dyDescent="0.3">
      <c r="A19" s="3" t="s">
        <v>389</v>
      </c>
      <c r="B19" s="3" t="s">
        <v>157</v>
      </c>
      <c r="C19" s="2" t="s">
        <v>3</v>
      </c>
      <c r="D19" s="2" t="s">
        <v>3</v>
      </c>
      <c r="E19" s="3" t="s">
        <v>157</v>
      </c>
      <c r="G19" s="2" t="s">
        <v>3</v>
      </c>
      <c r="H19" s="2" t="s">
        <v>3</v>
      </c>
      <c r="I19" s="5">
        <v>518</v>
      </c>
      <c r="K19" s="2" t="s">
        <v>3</v>
      </c>
      <c r="L19" s="2" t="s">
        <v>3</v>
      </c>
      <c r="M19" s="3" t="s">
        <v>157</v>
      </c>
      <c r="O19" s="2" t="s">
        <v>3</v>
      </c>
      <c r="P19" s="2" t="s">
        <v>3</v>
      </c>
      <c r="Q19" s="3" t="s">
        <v>157</v>
      </c>
      <c r="S19" s="2" t="s">
        <v>3</v>
      </c>
      <c r="T19" s="2" t="s">
        <v>3</v>
      </c>
      <c r="U19" s="5">
        <v>518</v>
      </c>
      <c r="W19" s="2" t="s">
        <v>3</v>
      </c>
      <c r="X19" s="2" t="s">
        <v>3</v>
      </c>
      <c r="Y19" s="3" t="s">
        <v>157</v>
      </c>
      <c r="AA19" s="2" t="s">
        <v>3</v>
      </c>
      <c r="AB19" s="2" t="s">
        <v>3</v>
      </c>
      <c r="AC19" s="5">
        <v>518</v>
      </c>
      <c r="AE19" s="2" t="s">
        <v>3</v>
      </c>
    </row>
    <row r="20" spans="1:31" ht="12" x14ac:dyDescent="0.3">
      <c r="A20" s="3" t="s">
        <v>390</v>
      </c>
      <c r="B20" s="5">
        <v>2673</v>
      </c>
      <c r="C20" s="2" t="s">
        <v>3</v>
      </c>
      <c r="D20" s="2" t="s">
        <v>3</v>
      </c>
      <c r="E20" s="3" t="s">
        <v>157</v>
      </c>
      <c r="G20" s="2" t="s">
        <v>3</v>
      </c>
      <c r="H20" s="2" t="s">
        <v>3</v>
      </c>
      <c r="I20" s="5">
        <v>-165</v>
      </c>
      <c r="K20" s="3" t="s">
        <v>3</v>
      </c>
      <c r="L20" s="2" t="s">
        <v>3</v>
      </c>
      <c r="M20" s="3" t="s">
        <v>157</v>
      </c>
      <c r="O20" s="2" t="s">
        <v>3</v>
      </c>
      <c r="P20" s="2" t="s">
        <v>3</v>
      </c>
      <c r="Q20" s="3" t="s">
        <v>157</v>
      </c>
      <c r="S20" s="2" t="s">
        <v>3</v>
      </c>
      <c r="T20" s="2" t="s">
        <v>3</v>
      </c>
      <c r="U20" s="5">
        <v>-165</v>
      </c>
      <c r="W20" s="3" t="s">
        <v>3</v>
      </c>
      <c r="X20" s="2" t="s">
        <v>3</v>
      </c>
      <c r="Y20" s="3" t="s">
        <v>157</v>
      </c>
      <c r="AA20" s="2" t="s">
        <v>3</v>
      </c>
      <c r="AB20" s="2" t="s">
        <v>3</v>
      </c>
      <c r="AC20" s="5">
        <v>-165</v>
      </c>
      <c r="AE20" s="3" t="s">
        <v>3</v>
      </c>
    </row>
    <row r="21" spans="1:31" ht="12" x14ac:dyDescent="0.3">
      <c r="A21" s="3" t="s">
        <v>391</v>
      </c>
    </row>
    <row r="22" spans="1:31" ht="12" x14ac:dyDescent="0.3">
      <c r="A22" s="3" t="s">
        <v>392</v>
      </c>
      <c r="B22" s="5">
        <v>5</v>
      </c>
      <c r="C22" s="2" t="s">
        <v>3</v>
      </c>
      <c r="D22" s="2" t="s">
        <v>3</v>
      </c>
      <c r="E22" s="3" t="s">
        <v>157</v>
      </c>
      <c r="G22" s="2" t="s">
        <v>3</v>
      </c>
      <c r="H22" s="2" t="s">
        <v>3</v>
      </c>
      <c r="I22" s="3" t="s">
        <v>157</v>
      </c>
      <c r="K22" s="2" t="s">
        <v>3</v>
      </c>
      <c r="L22" s="2" t="s">
        <v>3</v>
      </c>
      <c r="M22" s="3" t="s">
        <v>157</v>
      </c>
      <c r="O22" s="2" t="s">
        <v>3</v>
      </c>
      <c r="P22" s="2" t="s">
        <v>3</v>
      </c>
      <c r="Q22" s="3" t="s">
        <v>157</v>
      </c>
      <c r="S22" s="2" t="s">
        <v>3</v>
      </c>
      <c r="T22" s="2" t="s">
        <v>3</v>
      </c>
      <c r="U22" s="3" t="s">
        <v>157</v>
      </c>
      <c r="W22" s="2" t="s">
        <v>3</v>
      </c>
      <c r="X22" s="2" t="s">
        <v>3</v>
      </c>
      <c r="Y22" s="3" t="s">
        <v>157</v>
      </c>
      <c r="AA22" s="2" t="s">
        <v>3</v>
      </c>
      <c r="AB22" s="2" t="s">
        <v>3</v>
      </c>
      <c r="AC22" s="3" t="s">
        <v>157</v>
      </c>
      <c r="AE22" s="2" t="s">
        <v>3</v>
      </c>
    </row>
    <row r="23" spans="1:31" ht="12" x14ac:dyDescent="0.3">
      <c r="A23" s="3" t="s">
        <v>393</v>
      </c>
      <c r="B23" s="5">
        <v>-2998</v>
      </c>
      <c r="C23" s="3" t="s">
        <v>3</v>
      </c>
      <c r="D23" s="2" t="s">
        <v>3</v>
      </c>
      <c r="E23" s="3" t="s">
        <v>157</v>
      </c>
      <c r="G23" s="2" t="s">
        <v>3</v>
      </c>
      <c r="H23" s="2" t="s">
        <v>3</v>
      </c>
      <c r="I23" s="5">
        <v>-41</v>
      </c>
      <c r="K23" s="3" t="s">
        <v>3</v>
      </c>
      <c r="L23" s="2" t="s">
        <v>3</v>
      </c>
      <c r="M23" s="3" t="s">
        <v>157</v>
      </c>
      <c r="O23" s="2" t="s">
        <v>3</v>
      </c>
      <c r="P23" s="2" t="s">
        <v>3</v>
      </c>
      <c r="Q23" s="5">
        <v>-432</v>
      </c>
      <c r="S23" s="3" t="s">
        <v>3</v>
      </c>
      <c r="T23" s="2" t="s">
        <v>3</v>
      </c>
      <c r="U23" s="5">
        <v>-473</v>
      </c>
      <c r="W23" s="3" t="s">
        <v>3</v>
      </c>
      <c r="X23" s="2" t="s">
        <v>3</v>
      </c>
      <c r="Y23" s="3" t="s">
        <v>157</v>
      </c>
      <c r="AA23" s="2" t="s">
        <v>3</v>
      </c>
      <c r="AB23" s="2" t="s">
        <v>3</v>
      </c>
      <c r="AC23" s="5">
        <v>-473</v>
      </c>
      <c r="AE23" s="3" t="s">
        <v>3</v>
      </c>
    </row>
    <row r="24" spans="1:31" ht="12" x14ac:dyDescent="0.3">
      <c r="A24" s="3" t="s">
        <v>394</v>
      </c>
      <c r="B24" s="3" t="s">
        <v>157</v>
      </c>
      <c r="C24" s="2" t="s">
        <v>3</v>
      </c>
      <c r="D24" s="2" t="s">
        <v>3</v>
      </c>
      <c r="E24" s="5">
        <v>2</v>
      </c>
      <c r="G24" s="2" t="s">
        <v>3</v>
      </c>
      <c r="H24" s="2" t="s">
        <v>3</v>
      </c>
      <c r="I24" s="5">
        <v>-2</v>
      </c>
      <c r="K24" s="3" t="s">
        <v>3</v>
      </c>
      <c r="L24" s="2" t="s">
        <v>3</v>
      </c>
      <c r="M24" s="3" t="s">
        <v>157</v>
      </c>
      <c r="O24" s="2" t="s">
        <v>3</v>
      </c>
      <c r="P24" s="2" t="s">
        <v>3</v>
      </c>
      <c r="Q24" s="5">
        <v>-3945</v>
      </c>
      <c r="S24" s="3" t="s">
        <v>3</v>
      </c>
      <c r="T24" s="2" t="s">
        <v>3</v>
      </c>
      <c r="U24" s="5">
        <v>-3945</v>
      </c>
      <c r="W24" s="3" t="s">
        <v>3</v>
      </c>
      <c r="X24" s="2" t="s">
        <v>3</v>
      </c>
      <c r="Y24" s="3" t="s">
        <v>157</v>
      </c>
      <c r="AA24" s="2" t="s">
        <v>3</v>
      </c>
      <c r="AB24" s="2" t="s">
        <v>3</v>
      </c>
      <c r="AC24" s="5">
        <v>-3945</v>
      </c>
      <c r="AE24" s="3" t="s">
        <v>3</v>
      </c>
    </row>
    <row r="25" spans="1:31" ht="12" x14ac:dyDescent="0.3">
      <c r="A25" s="1" t="s">
        <v>395</v>
      </c>
      <c r="B25" s="5">
        <v>437204</v>
      </c>
      <c r="C25" s="2" t="s">
        <v>3</v>
      </c>
      <c r="D25" s="2" t="s">
        <v>3</v>
      </c>
      <c r="E25" s="5">
        <v>4</v>
      </c>
      <c r="G25" s="2" t="s">
        <v>3</v>
      </c>
      <c r="H25" s="2" t="s">
        <v>3</v>
      </c>
      <c r="I25" s="5">
        <v>5800</v>
      </c>
      <c r="K25" s="2" t="s">
        <v>3</v>
      </c>
      <c r="L25" s="2" t="s">
        <v>3</v>
      </c>
      <c r="M25" s="5">
        <v>-1014</v>
      </c>
      <c r="O25" s="3" t="s">
        <v>3</v>
      </c>
      <c r="P25" s="2" t="s">
        <v>3</v>
      </c>
      <c r="Q25" s="5">
        <v>5988</v>
      </c>
      <c r="S25" s="2" t="s">
        <v>3</v>
      </c>
      <c r="T25" s="2" t="s">
        <v>3</v>
      </c>
      <c r="U25" s="5">
        <v>10778</v>
      </c>
      <c r="W25" s="2" t="s">
        <v>3</v>
      </c>
      <c r="X25" s="2" t="s">
        <v>3</v>
      </c>
      <c r="Y25" s="5">
        <v>301</v>
      </c>
      <c r="AA25" s="2" t="s">
        <v>3</v>
      </c>
      <c r="AB25" s="2" t="s">
        <v>3</v>
      </c>
      <c r="AC25" s="5">
        <v>11079</v>
      </c>
      <c r="AE25" s="2" t="s">
        <v>3</v>
      </c>
    </row>
    <row r="26" spans="1:31" ht="12" x14ac:dyDescent="0.3">
      <c r="A26" s="3" t="s">
        <v>388</v>
      </c>
      <c r="B26" s="3" t="s">
        <v>157</v>
      </c>
      <c r="C26" s="2" t="s">
        <v>3</v>
      </c>
      <c r="D26" s="2" t="s">
        <v>3</v>
      </c>
      <c r="E26" s="3" t="s">
        <v>157</v>
      </c>
      <c r="G26" s="2" t="s">
        <v>3</v>
      </c>
      <c r="H26" s="2" t="s">
        <v>3</v>
      </c>
      <c r="I26" s="3" t="s">
        <v>157</v>
      </c>
      <c r="K26" s="2" t="s">
        <v>3</v>
      </c>
      <c r="L26" s="2" t="s">
        <v>3</v>
      </c>
      <c r="M26" s="3" t="s">
        <v>157</v>
      </c>
      <c r="O26" s="2" t="s">
        <v>3</v>
      </c>
      <c r="P26" s="2" t="s">
        <v>3</v>
      </c>
      <c r="Q26" s="5">
        <v>3134</v>
      </c>
      <c r="S26" s="2" t="s">
        <v>3</v>
      </c>
      <c r="T26" s="2" t="s">
        <v>3</v>
      </c>
      <c r="U26" s="5">
        <v>3134</v>
      </c>
      <c r="W26" s="2" t="s">
        <v>3</v>
      </c>
      <c r="X26" s="2" t="s">
        <v>3</v>
      </c>
      <c r="Y26" s="5">
        <v>45</v>
      </c>
      <c r="AA26" s="2" t="s">
        <v>3</v>
      </c>
      <c r="AB26" s="2" t="s">
        <v>3</v>
      </c>
      <c r="AC26" s="5">
        <v>3179</v>
      </c>
      <c r="AE26" s="2" t="s">
        <v>3</v>
      </c>
    </row>
    <row r="27" spans="1:31" ht="12" x14ac:dyDescent="0.3">
      <c r="A27" s="3" t="s">
        <v>363</v>
      </c>
      <c r="B27" s="3" t="s">
        <v>157</v>
      </c>
      <c r="C27" s="2" t="s">
        <v>3</v>
      </c>
      <c r="D27" s="2" t="s">
        <v>3</v>
      </c>
      <c r="E27" s="3" t="s">
        <v>157</v>
      </c>
      <c r="G27" s="2" t="s">
        <v>3</v>
      </c>
      <c r="H27" s="2" t="s">
        <v>3</v>
      </c>
      <c r="I27" s="3" t="s">
        <v>157</v>
      </c>
      <c r="K27" s="2" t="s">
        <v>3</v>
      </c>
      <c r="L27" s="2" t="s">
        <v>3</v>
      </c>
      <c r="M27" s="5">
        <v>-185</v>
      </c>
      <c r="O27" s="3" t="s">
        <v>3</v>
      </c>
      <c r="P27" s="2" t="s">
        <v>3</v>
      </c>
      <c r="Q27" s="3" t="s">
        <v>157</v>
      </c>
      <c r="S27" s="2" t="s">
        <v>3</v>
      </c>
      <c r="T27" s="2" t="s">
        <v>3</v>
      </c>
      <c r="U27" s="5">
        <v>-185</v>
      </c>
      <c r="W27" s="3" t="s">
        <v>3</v>
      </c>
      <c r="X27" s="2" t="s">
        <v>3</v>
      </c>
      <c r="Y27" s="5">
        <v>-7</v>
      </c>
      <c r="AA27" s="3" t="s">
        <v>3</v>
      </c>
      <c r="AB27" s="2" t="s">
        <v>3</v>
      </c>
      <c r="AC27" s="5">
        <v>-192</v>
      </c>
      <c r="AE27" s="3" t="s">
        <v>3</v>
      </c>
    </row>
    <row r="28" spans="1:31" ht="12" x14ac:dyDescent="0.3">
      <c r="A28" s="3" t="s">
        <v>364</v>
      </c>
    </row>
    <row r="29" spans="1:31" ht="12" x14ac:dyDescent="0.3">
      <c r="A29" s="3" t="s">
        <v>389</v>
      </c>
      <c r="B29" s="3" t="s">
        <v>157</v>
      </c>
      <c r="C29" s="2" t="s">
        <v>3</v>
      </c>
      <c r="D29" s="2" t="s">
        <v>3</v>
      </c>
      <c r="E29" s="3" t="s">
        <v>157</v>
      </c>
      <c r="G29" s="2" t="s">
        <v>3</v>
      </c>
      <c r="H29" s="2" t="s">
        <v>3</v>
      </c>
      <c r="I29" s="5">
        <v>547</v>
      </c>
      <c r="K29" s="2" t="s">
        <v>3</v>
      </c>
      <c r="L29" s="2" t="s">
        <v>3</v>
      </c>
      <c r="M29" s="3" t="s">
        <v>157</v>
      </c>
      <c r="O29" s="2" t="s">
        <v>3</v>
      </c>
      <c r="P29" s="2" t="s">
        <v>3</v>
      </c>
      <c r="Q29" s="3" t="s">
        <v>157</v>
      </c>
      <c r="S29" s="2" t="s">
        <v>3</v>
      </c>
      <c r="T29" s="2" t="s">
        <v>3</v>
      </c>
      <c r="U29" s="5">
        <v>547</v>
      </c>
      <c r="W29" s="2" t="s">
        <v>3</v>
      </c>
      <c r="X29" s="2" t="s">
        <v>3</v>
      </c>
      <c r="Y29" s="3" t="s">
        <v>157</v>
      </c>
      <c r="AA29" s="2" t="s">
        <v>3</v>
      </c>
      <c r="AB29" s="2" t="s">
        <v>3</v>
      </c>
      <c r="AC29" s="5">
        <v>547</v>
      </c>
      <c r="AE29" s="2" t="s">
        <v>3</v>
      </c>
    </row>
    <row r="30" spans="1:31" ht="12" x14ac:dyDescent="0.3">
      <c r="A30" s="3" t="s">
        <v>396</v>
      </c>
      <c r="B30" s="5">
        <v>2741</v>
      </c>
      <c r="C30" s="2" t="s">
        <v>3</v>
      </c>
      <c r="D30" s="2" t="s">
        <v>3</v>
      </c>
      <c r="E30" s="3" t="s">
        <v>157</v>
      </c>
      <c r="G30" s="2" t="s">
        <v>3</v>
      </c>
      <c r="H30" s="2" t="s">
        <v>3</v>
      </c>
      <c r="I30" s="5">
        <v>-217</v>
      </c>
      <c r="K30" s="3" t="s">
        <v>3</v>
      </c>
      <c r="L30" s="2" t="s">
        <v>3</v>
      </c>
      <c r="M30" s="3" t="s">
        <v>157</v>
      </c>
      <c r="O30" s="2" t="s">
        <v>3</v>
      </c>
      <c r="P30" s="2" t="s">
        <v>3</v>
      </c>
      <c r="Q30" s="3" t="s">
        <v>157</v>
      </c>
      <c r="S30" s="2" t="s">
        <v>3</v>
      </c>
      <c r="T30" s="2" t="s">
        <v>3</v>
      </c>
      <c r="U30" s="5">
        <v>-217</v>
      </c>
      <c r="W30" s="3" t="s">
        <v>3</v>
      </c>
      <c r="X30" s="2" t="s">
        <v>3</v>
      </c>
      <c r="Y30" s="3" t="s">
        <v>157</v>
      </c>
      <c r="AA30" s="2" t="s">
        <v>3</v>
      </c>
      <c r="AB30" s="2" t="s">
        <v>3</v>
      </c>
      <c r="AC30" s="5">
        <v>-217</v>
      </c>
      <c r="AE30" s="3" t="s">
        <v>3</v>
      </c>
    </row>
    <row r="31" spans="1:31" ht="12" x14ac:dyDescent="0.3">
      <c r="A31" s="3" t="s">
        <v>393</v>
      </c>
      <c r="B31" s="5">
        <v>-1756</v>
      </c>
      <c r="C31" s="3" t="s">
        <v>3</v>
      </c>
      <c r="D31" s="2" t="s">
        <v>3</v>
      </c>
      <c r="E31" s="3" t="s">
        <v>157</v>
      </c>
      <c r="G31" s="2" t="s">
        <v>3</v>
      </c>
      <c r="H31" s="2" t="s">
        <v>3</v>
      </c>
      <c r="I31" s="5">
        <v>-26</v>
      </c>
      <c r="K31" s="3" t="s">
        <v>3</v>
      </c>
      <c r="L31" s="2" t="s">
        <v>3</v>
      </c>
      <c r="M31" s="3" t="s">
        <v>157</v>
      </c>
      <c r="O31" s="2" t="s">
        <v>3</v>
      </c>
      <c r="P31" s="2" t="s">
        <v>3</v>
      </c>
      <c r="Q31" s="5">
        <v>-296</v>
      </c>
      <c r="S31" s="3" t="s">
        <v>3</v>
      </c>
      <c r="T31" s="2" t="s">
        <v>3</v>
      </c>
      <c r="U31" s="5">
        <v>-322</v>
      </c>
      <c r="W31" s="3" t="s">
        <v>3</v>
      </c>
      <c r="X31" s="2" t="s">
        <v>3</v>
      </c>
      <c r="Y31" s="3" t="s">
        <v>157</v>
      </c>
      <c r="AA31" s="2" t="s">
        <v>3</v>
      </c>
      <c r="AB31" s="2" t="s">
        <v>3</v>
      </c>
      <c r="AC31" s="5">
        <v>-322</v>
      </c>
      <c r="AE31" s="3" t="s">
        <v>3</v>
      </c>
    </row>
    <row r="32" spans="1:31" ht="12" x14ac:dyDescent="0.3">
      <c r="A32" s="3" t="s">
        <v>394</v>
      </c>
      <c r="B32" s="3" t="s">
        <v>157</v>
      </c>
      <c r="C32" s="2" t="s">
        <v>3</v>
      </c>
      <c r="D32" s="2" t="s">
        <v>3</v>
      </c>
      <c r="E32" s="3" t="s">
        <v>157</v>
      </c>
      <c r="G32" s="2" t="s">
        <v>3</v>
      </c>
      <c r="H32" s="2" t="s">
        <v>3</v>
      </c>
      <c r="I32" s="5">
        <v>3</v>
      </c>
      <c r="K32" s="2" t="s">
        <v>3</v>
      </c>
      <c r="L32" s="2" t="s">
        <v>3</v>
      </c>
      <c r="M32" s="3" t="s">
        <v>157</v>
      </c>
      <c r="O32" s="2" t="s">
        <v>3</v>
      </c>
      <c r="P32" s="2" t="s">
        <v>3</v>
      </c>
      <c r="Q32" s="5">
        <v>-939</v>
      </c>
      <c r="S32" s="3" t="s">
        <v>3</v>
      </c>
      <c r="T32" s="2" t="s">
        <v>3</v>
      </c>
      <c r="U32" s="5">
        <v>-936</v>
      </c>
      <c r="W32" s="3" t="s">
        <v>3</v>
      </c>
      <c r="X32" s="2" t="s">
        <v>3</v>
      </c>
      <c r="Y32" s="5">
        <v>-35</v>
      </c>
      <c r="AA32" s="3" t="s">
        <v>3</v>
      </c>
      <c r="AB32" s="2" t="s">
        <v>3</v>
      </c>
      <c r="AC32" s="5">
        <v>-971</v>
      </c>
      <c r="AE32" s="3" t="s">
        <v>3</v>
      </c>
    </row>
    <row r="33" spans="1:31" ht="12" x14ac:dyDescent="0.3">
      <c r="A33" s="1" t="s">
        <v>397</v>
      </c>
      <c r="B33" s="5">
        <v>438189</v>
      </c>
      <c r="C33" s="2" t="s">
        <v>3</v>
      </c>
      <c r="D33" s="2" t="s">
        <v>3</v>
      </c>
      <c r="E33" s="5">
        <v>4</v>
      </c>
      <c r="G33" s="2" t="s">
        <v>3</v>
      </c>
      <c r="H33" s="2" t="s">
        <v>3</v>
      </c>
      <c r="I33" s="5">
        <v>6107</v>
      </c>
      <c r="K33" s="2" t="s">
        <v>3</v>
      </c>
      <c r="L33" s="2" t="s">
        <v>3</v>
      </c>
      <c r="M33" s="5">
        <v>-1199</v>
      </c>
      <c r="O33" s="3" t="s">
        <v>3</v>
      </c>
      <c r="P33" s="2" t="s">
        <v>3</v>
      </c>
      <c r="Q33" s="5">
        <v>7887</v>
      </c>
      <c r="S33" s="2" t="s">
        <v>3</v>
      </c>
      <c r="T33" s="2" t="s">
        <v>3</v>
      </c>
      <c r="U33" s="5">
        <v>12799</v>
      </c>
      <c r="W33" s="2" t="s">
        <v>3</v>
      </c>
      <c r="X33" s="2" t="s">
        <v>3</v>
      </c>
      <c r="Y33" s="5">
        <v>304</v>
      </c>
      <c r="AA33" s="2" t="s">
        <v>3</v>
      </c>
      <c r="AB33" s="2" t="s">
        <v>3</v>
      </c>
      <c r="AC33" s="5">
        <v>13103</v>
      </c>
      <c r="AE33" s="2" t="s">
        <v>3</v>
      </c>
    </row>
    <row r="34" spans="1:31" ht="12" x14ac:dyDescent="0.3">
      <c r="A34" s="3" t="s">
        <v>388</v>
      </c>
      <c r="B34" s="3" t="s">
        <v>157</v>
      </c>
      <c r="C34" s="2" t="s">
        <v>3</v>
      </c>
      <c r="D34" s="2" t="s">
        <v>3</v>
      </c>
      <c r="E34" s="3" t="s">
        <v>157</v>
      </c>
      <c r="G34" s="2" t="s">
        <v>3</v>
      </c>
      <c r="H34" s="2" t="s">
        <v>3</v>
      </c>
      <c r="I34" s="3" t="s">
        <v>157</v>
      </c>
      <c r="K34" s="2" t="s">
        <v>3</v>
      </c>
      <c r="L34" s="2" t="s">
        <v>3</v>
      </c>
      <c r="M34" s="3" t="s">
        <v>157</v>
      </c>
      <c r="O34" s="2" t="s">
        <v>3</v>
      </c>
      <c r="P34" s="2" t="s">
        <v>3</v>
      </c>
      <c r="Q34" s="5">
        <v>3659</v>
      </c>
      <c r="S34" s="2" t="s">
        <v>3</v>
      </c>
      <c r="T34" s="2" t="s">
        <v>3</v>
      </c>
      <c r="U34" s="5">
        <v>3659</v>
      </c>
      <c r="W34" s="2" t="s">
        <v>3</v>
      </c>
      <c r="X34" s="2" t="s">
        <v>3</v>
      </c>
      <c r="Y34" s="5">
        <v>45</v>
      </c>
      <c r="AA34" s="2" t="s">
        <v>3</v>
      </c>
      <c r="AB34" s="2" t="s">
        <v>3</v>
      </c>
      <c r="AC34" s="5">
        <v>3704</v>
      </c>
      <c r="AE34" s="2" t="s">
        <v>3</v>
      </c>
    </row>
    <row r="35" spans="1:31" ht="12" x14ac:dyDescent="0.3">
      <c r="A35" s="3" t="s">
        <v>363</v>
      </c>
      <c r="B35" s="3" t="s">
        <v>157</v>
      </c>
      <c r="C35" s="2" t="s">
        <v>3</v>
      </c>
      <c r="D35" s="2" t="s">
        <v>3</v>
      </c>
      <c r="E35" s="3" t="s">
        <v>157</v>
      </c>
      <c r="G35" s="2" t="s">
        <v>3</v>
      </c>
      <c r="H35" s="2" t="s">
        <v>3</v>
      </c>
      <c r="I35" s="3" t="s">
        <v>157</v>
      </c>
      <c r="K35" s="2" t="s">
        <v>3</v>
      </c>
      <c r="L35" s="2" t="s">
        <v>3</v>
      </c>
      <c r="M35" s="5">
        <v>-237</v>
      </c>
      <c r="O35" s="3" t="s">
        <v>3</v>
      </c>
      <c r="P35" s="2" t="s">
        <v>3</v>
      </c>
      <c r="Q35" s="3" t="s">
        <v>157</v>
      </c>
      <c r="S35" s="2" t="s">
        <v>3</v>
      </c>
      <c r="T35" s="2" t="s">
        <v>3</v>
      </c>
      <c r="U35" s="5">
        <v>-237</v>
      </c>
      <c r="W35" s="3" t="s">
        <v>3</v>
      </c>
      <c r="X35" s="2" t="s">
        <v>3</v>
      </c>
      <c r="Y35" s="5">
        <v>-8</v>
      </c>
      <c r="AA35" s="3" t="s">
        <v>3</v>
      </c>
      <c r="AB35" s="2" t="s">
        <v>3</v>
      </c>
      <c r="AC35" s="5">
        <v>-245</v>
      </c>
      <c r="AE35" s="3" t="s">
        <v>3</v>
      </c>
    </row>
    <row r="36" spans="1:31" ht="12" x14ac:dyDescent="0.3">
      <c r="A36" s="3" t="s">
        <v>364</v>
      </c>
    </row>
    <row r="37" spans="1:31" ht="12" x14ac:dyDescent="0.3">
      <c r="A37" s="3" t="s">
        <v>389</v>
      </c>
      <c r="B37" s="3" t="s">
        <v>157</v>
      </c>
      <c r="C37" s="2" t="s">
        <v>3</v>
      </c>
      <c r="D37" s="2" t="s">
        <v>3</v>
      </c>
      <c r="E37" s="3" t="s">
        <v>157</v>
      </c>
      <c r="G37" s="2" t="s">
        <v>3</v>
      </c>
      <c r="H37" s="2" t="s">
        <v>3</v>
      </c>
      <c r="I37" s="5">
        <v>598</v>
      </c>
      <c r="K37" s="2" t="s">
        <v>3</v>
      </c>
      <c r="L37" s="2" t="s">
        <v>3</v>
      </c>
      <c r="M37" s="3" t="s">
        <v>157</v>
      </c>
      <c r="O37" s="2" t="s">
        <v>3</v>
      </c>
      <c r="P37" s="2" t="s">
        <v>3</v>
      </c>
      <c r="Q37" s="3" t="s">
        <v>157</v>
      </c>
      <c r="S37" s="2" t="s">
        <v>3</v>
      </c>
      <c r="T37" s="2" t="s">
        <v>3</v>
      </c>
      <c r="U37" s="5">
        <v>598</v>
      </c>
      <c r="W37" s="2" t="s">
        <v>3</v>
      </c>
      <c r="X37" s="2" t="s">
        <v>3</v>
      </c>
      <c r="Y37" s="3" t="s">
        <v>157</v>
      </c>
      <c r="AA37" s="2" t="s">
        <v>3</v>
      </c>
      <c r="AB37" s="2" t="s">
        <v>3</v>
      </c>
      <c r="AC37" s="5">
        <v>598</v>
      </c>
      <c r="AE37" s="2" t="s">
        <v>3</v>
      </c>
    </row>
    <row r="38" spans="1:31" ht="12" x14ac:dyDescent="0.3">
      <c r="A38" s="3" t="s">
        <v>396</v>
      </c>
      <c r="B38" s="5">
        <v>2533</v>
      </c>
      <c r="C38" s="2" t="s">
        <v>3</v>
      </c>
      <c r="D38" s="2" t="s">
        <v>3</v>
      </c>
      <c r="E38" s="3" t="s">
        <v>157</v>
      </c>
      <c r="G38" s="2" t="s">
        <v>3</v>
      </c>
      <c r="H38" s="2" t="s">
        <v>3</v>
      </c>
      <c r="I38" s="5">
        <v>-272</v>
      </c>
      <c r="K38" s="3" t="s">
        <v>3</v>
      </c>
      <c r="L38" s="2" t="s">
        <v>3</v>
      </c>
      <c r="M38" s="3" t="s">
        <v>157</v>
      </c>
      <c r="O38" s="2" t="s">
        <v>3</v>
      </c>
      <c r="P38" s="2" t="s">
        <v>3</v>
      </c>
      <c r="Q38" s="3" t="s">
        <v>157</v>
      </c>
      <c r="S38" s="2" t="s">
        <v>3</v>
      </c>
      <c r="T38" s="2" t="s">
        <v>3</v>
      </c>
      <c r="U38" s="5">
        <v>-272</v>
      </c>
      <c r="W38" s="3" t="s">
        <v>3</v>
      </c>
      <c r="X38" s="2" t="s">
        <v>3</v>
      </c>
      <c r="Y38" s="3" t="s">
        <v>157</v>
      </c>
      <c r="AA38" s="2" t="s">
        <v>3</v>
      </c>
      <c r="AB38" s="2" t="s">
        <v>3</v>
      </c>
      <c r="AC38" s="5">
        <v>-272</v>
      </c>
      <c r="AE38" s="3" t="s">
        <v>3</v>
      </c>
    </row>
    <row r="39" spans="1:31" ht="12" x14ac:dyDescent="0.3">
      <c r="A39" s="3" t="s">
        <v>393</v>
      </c>
      <c r="B39" s="5">
        <v>-1097</v>
      </c>
      <c r="C39" s="3" t="s">
        <v>3</v>
      </c>
      <c r="D39" s="2" t="s">
        <v>3</v>
      </c>
      <c r="E39" s="3" t="s">
        <v>157</v>
      </c>
      <c r="G39" s="2" t="s">
        <v>3</v>
      </c>
      <c r="H39" s="2" t="s">
        <v>3</v>
      </c>
      <c r="I39" s="5">
        <v>-16</v>
      </c>
      <c r="K39" s="3" t="s">
        <v>3</v>
      </c>
      <c r="L39" s="2" t="s">
        <v>3</v>
      </c>
      <c r="M39" s="3" t="s">
        <v>157</v>
      </c>
      <c r="O39" s="2" t="s">
        <v>3</v>
      </c>
      <c r="P39" s="2" t="s">
        <v>3</v>
      </c>
      <c r="Q39" s="5">
        <v>-231</v>
      </c>
      <c r="S39" s="3" t="s">
        <v>3</v>
      </c>
      <c r="T39" s="2" t="s">
        <v>3</v>
      </c>
      <c r="U39" s="5">
        <v>-247</v>
      </c>
      <c r="W39" s="3" t="s">
        <v>3</v>
      </c>
      <c r="X39" s="2" t="s">
        <v>3</v>
      </c>
      <c r="Y39" s="3" t="s">
        <v>157</v>
      </c>
      <c r="AA39" s="2" t="s">
        <v>3</v>
      </c>
      <c r="AB39" s="2" t="s">
        <v>3</v>
      </c>
      <c r="AC39" s="5">
        <v>-247</v>
      </c>
      <c r="AE39" s="3" t="s">
        <v>3</v>
      </c>
    </row>
    <row r="40" spans="1:31" ht="12" x14ac:dyDescent="0.3">
      <c r="A40" s="3" t="s">
        <v>394</v>
      </c>
      <c r="B40" s="3" t="s">
        <v>157</v>
      </c>
      <c r="C40" s="2" t="s">
        <v>3</v>
      </c>
      <c r="D40" s="2" t="s">
        <v>3</v>
      </c>
      <c r="E40" s="3" t="s">
        <v>157</v>
      </c>
      <c r="G40" s="2" t="s">
        <v>3</v>
      </c>
      <c r="H40" s="2" t="s">
        <v>3</v>
      </c>
      <c r="I40" s="3" t="s">
        <v>157</v>
      </c>
      <c r="K40" s="2" t="s">
        <v>3</v>
      </c>
      <c r="L40" s="2" t="s">
        <v>3</v>
      </c>
      <c r="M40" s="3" t="s">
        <v>157</v>
      </c>
      <c r="O40" s="2" t="s">
        <v>3</v>
      </c>
      <c r="P40" s="2" t="s">
        <v>3</v>
      </c>
      <c r="Q40" s="5">
        <v>-1057</v>
      </c>
      <c r="S40" s="3" t="s">
        <v>3</v>
      </c>
      <c r="T40" s="2" t="s">
        <v>3</v>
      </c>
      <c r="U40" s="5">
        <v>-1057</v>
      </c>
      <c r="W40" s="3" t="s">
        <v>3</v>
      </c>
      <c r="X40" s="2" t="s">
        <v>3</v>
      </c>
      <c r="Y40" s="3" t="s">
        <v>157</v>
      </c>
      <c r="AA40" s="2" t="s">
        <v>3</v>
      </c>
      <c r="AB40" s="2" t="s">
        <v>3</v>
      </c>
      <c r="AC40" s="5">
        <v>-1057</v>
      </c>
      <c r="AE40" s="3" t="s">
        <v>3</v>
      </c>
    </row>
    <row r="41" spans="1:31" ht="12" x14ac:dyDescent="0.3">
      <c r="A41" s="1" t="s">
        <v>398</v>
      </c>
      <c r="B41" s="5">
        <v>439625</v>
      </c>
      <c r="C41" s="2" t="s">
        <v>3</v>
      </c>
      <c r="D41" s="2" t="s">
        <v>3</v>
      </c>
      <c r="E41" s="7">
        <v>4</v>
      </c>
      <c r="G41" s="2" t="s">
        <v>3</v>
      </c>
      <c r="H41" s="2" t="s">
        <v>3</v>
      </c>
      <c r="I41" s="7">
        <v>6417</v>
      </c>
      <c r="K41" s="2" t="s">
        <v>3</v>
      </c>
      <c r="L41" s="2" t="s">
        <v>3</v>
      </c>
      <c r="M41" s="7">
        <v>-1436</v>
      </c>
      <c r="O41" s="3" t="s">
        <v>3</v>
      </c>
      <c r="P41" s="2" t="s">
        <v>3</v>
      </c>
      <c r="Q41" s="7">
        <v>10258</v>
      </c>
      <c r="S41" s="2" t="s">
        <v>3</v>
      </c>
      <c r="T41" s="2" t="s">
        <v>3</v>
      </c>
      <c r="U41" s="7">
        <v>15243</v>
      </c>
      <c r="W41" s="2" t="s">
        <v>3</v>
      </c>
      <c r="X41" s="2" t="s">
        <v>3</v>
      </c>
      <c r="Y41" s="7">
        <v>341</v>
      </c>
      <c r="AA41" s="2" t="s">
        <v>3</v>
      </c>
      <c r="AB41" s="2" t="s">
        <v>3</v>
      </c>
      <c r="AC41" s="7">
        <v>15584</v>
      </c>
      <c r="AE41" s="2" t="s">
        <v>3</v>
      </c>
    </row>
    <row r="42" spans="1:31" ht="12" x14ac:dyDescent="0.3">
      <c r="A42" s="2" t="s">
        <v>3</v>
      </c>
    </row>
    <row r="43" spans="1:31" ht="12" x14ac:dyDescent="0.3">
      <c r="A43" s="2" t="s">
        <v>3</v>
      </c>
    </row>
    <row r="44" spans="1:31" ht="12" x14ac:dyDescent="0.3">
      <c r="A44" s="1" t="s">
        <v>8</v>
      </c>
    </row>
    <row r="45" spans="1:31" ht="12" x14ac:dyDescent="0.3">
      <c r="A45" s="1" t="s">
        <v>9</v>
      </c>
    </row>
    <row r="46" spans="1:31" ht="12" x14ac:dyDescent="0.3">
      <c r="A46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L63"/>
  <sheetViews>
    <sheetView topLeftCell="A3" workbookViewId="0">
      <selection activeCell="B33" sqref="B33"/>
    </sheetView>
  </sheetViews>
  <sheetFormatPr defaultColWidth="10.3984375" defaultRowHeight="11.5" x14ac:dyDescent="0.25"/>
  <cols>
    <col min="1" max="1" width="59.296875" customWidth="1"/>
    <col min="2" max="12" width="9.09765625" customWidth="1"/>
  </cols>
  <sheetData>
    <row r="1" spans="1:12" ht="12" x14ac:dyDescent="0.3">
      <c r="A1" s="1" t="s">
        <v>0</v>
      </c>
    </row>
    <row r="2" spans="1:12" ht="12" x14ac:dyDescent="0.3">
      <c r="A2" s="1" t="s">
        <v>1</v>
      </c>
    </row>
    <row r="3" spans="1:12" ht="12" x14ac:dyDescent="0.3">
      <c r="A3" s="1" t="s">
        <v>2</v>
      </c>
    </row>
    <row r="4" spans="1:12" ht="12" x14ac:dyDescent="0.3">
      <c r="A4" s="2" t="s">
        <v>3</v>
      </c>
    </row>
    <row r="5" spans="1:12" ht="12" x14ac:dyDescent="0.3">
      <c r="A5" s="1" t="s">
        <v>399</v>
      </c>
    </row>
    <row r="6" spans="1:12" ht="12" x14ac:dyDescent="0.3">
      <c r="A6" s="2" t="s">
        <v>3</v>
      </c>
    </row>
    <row r="7" spans="1:12" ht="12" x14ac:dyDescent="0.3">
      <c r="A7" s="2" t="s">
        <v>3</v>
      </c>
    </row>
    <row r="8" spans="1:12" ht="12" x14ac:dyDescent="0.3">
      <c r="A8" s="2" t="s">
        <v>3</v>
      </c>
    </row>
    <row r="9" spans="1:12" ht="12" x14ac:dyDescent="0.3">
      <c r="A9" s="2" t="s">
        <v>3</v>
      </c>
    </row>
    <row r="10" spans="1:12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</row>
    <row r="11" spans="1:12" ht="12" x14ac:dyDescent="0.3">
      <c r="A11" s="2" t="s">
        <v>3</v>
      </c>
      <c r="B11" s="3" t="s">
        <v>232</v>
      </c>
      <c r="E11" s="2" t="s">
        <v>3</v>
      </c>
      <c r="F11" s="3" t="s">
        <v>232</v>
      </c>
      <c r="I11" s="2" t="s">
        <v>3</v>
      </c>
      <c r="J11" s="3" t="s">
        <v>233</v>
      </c>
    </row>
    <row r="12" spans="1:12" ht="12" x14ac:dyDescent="0.3">
      <c r="A12" s="2" t="s">
        <v>3</v>
      </c>
      <c r="B12" s="3" t="s">
        <v>210</v>
      </c>
      <c r="E12" s="2" t="s">
        <v>3</v>
      </c>
      <c r="F12" s="3" t="s">
        <v>211</v>
      </c>
      <c r="I12" s="2" t="s">
        <v>3</v>
      </c>
      <c r="J12" s="3" t="s">
        <v>234</v>
      </c>
    </row>
    <row r="13" spans="1:12" ht="12" x14ac:dyDescent="0.3">
      <c r="A13" s="2" t="s">
        <v>3</v>
      </c>
      <c r="B13" s="4">
        <v>2019</v>
      </c>
      <c r="E13" s="2" t="s">
        <v>3</v>
      </c>
      <c r="F13" s="4">
        <v>2018</v>
      </c>
      <c r="I13" s="2" t="s">
        <v>3</v>
      </c>
      <c r="J13" s="4">
        <v>2017</v>
      </c>
    </row>
    <row r="14" spans="1:12" ht="12" x14ac:dyDescent="0.3">
      <c r="A14" s="1" t="s">
        <v>400</v>
      </c>
      <c r="B14" s="2" t="s">
        <v>3</v>
      </c>
      <c r="E14" s="2" t="s">
        <v>3</v>
      </c>
      <c r="F14" s="2" t="s">
        <v>3</v>
      </c>
      <c r="I14" s="2" t="s">
        <v>3</v>
      </c>
      <c r="J14" s="2" t="s">
        <v>3</v>
      </c>
    </row>
    <row r="15" spans="1:12" ht="12" x14ac:dyDescent="0.3">
      <c r="A15" s="3" t="s">
        <v>253</v>
      </c>
      <c r="B15" s="7">
        <v>3704</v>
      </c>
      <c r="D15" s="2" t="s">
        <v>3</v>
      </c>
      <c r="E15" s="2" t="s">
        <v>3</v>
      </c>
      <c r="F15" s="7">
        <v>3179</v>
      </c>
      <c r="H15" s="2" t="s">
        <v>3</v>
      </c>
      <c r="I15" s="2" t="s">
        <v>3</v>
      </c>
      <c r="J15" s="7">
        <v>2714</v>
      </c>
      <c r="L15" s="2" t="s">
        <v>3</v>
      </c>
    </row>
    <row r="16" spans="1:12" ht="12" x14ac:dyDescent="0.3">
      <c r="A16" s="3" t="s">
        <v>401</v>
      </c>
      <c r="B16" s="2" t="s">
        <v>3</v>
      </c>
      <c r="E16" s="2" t="s">
        <v>3</v>
      </c>
      <c r="F16" s="2" t="s">
        <v>3</v>
      </c>
      <c r="I16" s="2" t="s">
        <v>3</v>
      </c>
      <c r="J16" s="2" t="s">
        <v>3</v>
      </c>
    </row>
    <row r="17" spans="1:12" ht="12" x14ac:dyDescent="0.3">
      <c r="A17" s="3" t="s">
        <v>402</v>
      </c>
    </row>
    <row r="18" spans="1:12" ht="12" x14ac:dyDescent="0.3">
      <c r="A18" s="3" t="s">
        <v>403</v>
      </c>
    </row>
    <row r="19" spans="1:12" ht="12" x14ac:dyDescent="0.3">
      <c r="A19" s="3" t="s">
        <v>404</v>
      </c>
      <c r="B19" s="5">
        <v>1492</v>
      </c>
      <c r="D19" s="2" t="s">
        <v>3</v>
      </c>
      <c r="E19" s="2" t="s">
        <v>3</v>
      </c>
      <c r="F19" s="5">
        <v>1437</v>
      </c>
      <c r="H19" s="2" t="s">
        <v>3</v>
      </c>
      <c r="I19" s="2" t="s">
        <v>3</v>
      </c>
      <c r="J19" s="5">
        <v>1370</v>
      </c>
      <c r="L19" s="2" t="s">
        <v>3</v>
      </c>
    </row>
    <row r="20" spans="1:12" ht="12" x14ac:dyDescent="0.3">
      <c r="A20" s="3" t="s">
        <v>389</v>
      </c>
      <c r="B20" s="5">
        <v>595</v>
      </c>
      <c r="D20" s="2" t="s">
        <v>3</v>
      </c>
      <c r="E20" s="2" t="s">
        <v>3</v>
      </c>
      <c r="F20" s="5">
        <v>544</v>
      </c>
      <c r="H20" s="2" t="s">
        <v>3</v>
      </c>
      <c r="I20" s="2" t="s">
        <v>3</v>
      </c>
      <c r="J20" s="5">
        <v>514</v>
      </c>
      <c r="L20" s="2" t="s">
        <v>3</v>
      </c>
    </row>
    <row r="21" spans="1:12" ht="12" x14ac:dyDescent="0.3">
      <c r="A21" s="3" t="s">
        <v>405</v>
      </c>
      <c r="B21" s="5">
        <v>9</v>
      </c>
      <c r="D21" s="2" t="s">
        <v>3</v>
      </c>
      <c r="E21" s="2" t="s">
        <v>3</v>
      </c>
      <c r="F21" s="5">
        <v>-6</v>
      </c>
      <c r="H21" s="3" t="s">
        <v>3</v>
      </c>
      <c r="I21" s="2" t="s">
        <v>3</v>
      </c>
      <c r="J21" s="5">
        <v>-14</v>
      </c>
      <c r="L21" s="3" t="s">
        <v>3</v>
      </c>
    </row>
    <row r="22" spans="1:12" ht="12" x14ac:dyDescent="0.3">
      <c r="A22" s="3" t="s">
        <v>338</v>
      </c>
    </row>
    <row r="23" spans="1:12" ht="12" x14ac:dyDescent="0.3">
      <c r="A23" s="3" t="s">
        <v>406</v>
      </c>
      <c r="B23" s="5">
        <v>147</v>
      </c>
      <c r="D23" s="2" t="s">
        <v>3</v>
      </c>
      <c r="E23" s="2" t="s">
        <v>3</v>
      </c>
      <c r="F23" s="5">
        <v>-49</v>
      </c>
      <c r="H23" s="3" t="s">
        <v>3</v>
      </c>
      <c r="I23" s="2" t="s">
        <v>3</v>
      </c>
      <c r="J23" s="5">
        <v>-29</v>
      </c>
      <c r="L23" s="3" t="s">
        <v>3</v>
      </c>
    </row>
    <row r="24" spans="1:12" ht="12" x14ac:dyDescent="0.3">
      <c r="A24" s="3" t="s">
        <v>407</v>
      </c>
      <c r="B24" s="2" t="s">
        <v>3</v>
      </c>
      <c r="E24" s="2" t="s">
        <v>3</v>
      </c>
      <c r="F24" s="2" t="s">
        <v>3</v>
      </c>
      <c r="I24" s="2" t="s">
        <v>3</v>
      </c>
      <c r="J24" s="2" t="s">
        <v>3</v>
      </c>
    </row>
    <row r="25" spans="1:12" ht="12" x14ac:dyDescent="0.3">
      <c r="A25" s="3" t="s">
        <v>195</v>
      </c>
      <c r="B25" s="5">
        <v>-536</v>
      </c>
      <c r="D25" s="3" t="s">
        <v>3</v>
      </c>
      <c r="E25" s="2" t="s">
        <v>3</v>
      </c>
      <c r="F25" s="5">
        <v>-1313</v>
      </c>
      <c r="H25" s="3" t="s">
        <v>3</v>
      </c>
      <c r="I25" s="2" t="s">
        <v>3</v>
      </c>
      <c r="J25" s="5">
        <v>-894</v>
      </c>
      <c r="L25" s="3" t="s">
        <v>3</v>
      </c>
    </row>
    <row r="26" spans="1:12" ht="12" x14ac:dyDescent="0.3">
      <c r="A26" s="3" t="s">
        <v>201</v>
      </c>
      <c r="B26" s="5">
        <v>322</v>
      </c>
      <c r="D26" s="2" t="s">
        <v>3</v>
      </c>
      <c r="E26" s="2" t="s">
        <v>3</v>
      </c>
      <c r="F26" s="5">
        <v>1561</v>
      </c>
      <c r="H26" s="2" t="s">
        <v>3</v>
      </c>
      <c r="I26" s="2" t="s">
        <v>3</v>
      </c>
      <c r="J26" s="5">
        <v>2258</v>
      </c>
      <c r="L26" s="2" t="s">
        <v>3</v>
      </c>
    </row>
    <row r="27" spans="1:12" ht="12" x14ac:dyDescent="0.3">
      <c r="A27" s="3" t="s">
        <v>408</v>
      </c>
      <c r="B27" s="5">
        <v>623</v>
      </c>
      <c r="D27" s="2" t="s">
        <v>3</v>
      </c>
      <c r="E27" s="2" t="s">
        <v>3</v>
      </c>
      <c r="F27" s="5">
        <v>421</v>
      </c>
      <c r="H27" s="2" t="s">
        <v>3</v>
      </c>
      <c r="I27" s="2" t="s">
        <v>3</v>
      </c>
      <c r="J27" s="5">
        <v>807</v>
      </c>
      <c r="L27" s="2" t="s">
        <v>3</v>
      </c>
    </row>
    <row r="28" spans="1:12" ht="12" x14ac:dyDescent="0.3">
      <c r="A28" s="3" t="s">
        <v>338</v>
      </c>
    </row>
    <row r="29" spans="1:12" ht="12" x14ac:dyDescent="0.3">
      <c r="A29" s="3" t="s">
        <v>343</v>
      </c>
      <c r="B29" s="5">
        <v>6356</v>
      </c>
      <c r="D29" s="2" t="s">
        <v>3</v>
      </c>
      <c r="E29" s="2" t="s">
        <v>3</v>
      </c>
      <c r="F29" s="5">
        <v>5774</v>
      </c>
      <c r="H29" s="2" t="s">
        <v>3</v>
      </c>
      <c r="I29" s="2" t="s">
        <v>3</v>
      </c>
      <c r="J29" s="5">
        <v>6726</v>
      </c>
      <c r="L29" s="2" t="s">
        <v>3</v>
      </c>
    </row>
    <row r="30" spans="1:12" ht="12" x14ac:dyDescent="0.3">
      <c r="A30" s="1" t="s">
        <v>409</v>
      </c>
      <c r="B30" s="2" t="s">
        <v>3</v>
      </c>
      <c r="E30" s="2" t="s">
        <v>3</v>
      </c>
      <c r="F30" s="2" t="s">
        <v>3</v>
      </c>
      <c r="I30" s="2" t="s">
        <v>3</v>
      </c>
      <c r="J30" s="2" t="s">
        <v>3</v>
      </c>
    </row>
    <row r="31" spans="1:12" ht="12" x14ac:dyDescent="0.3">
      <c r="A31" s="3" t="s">
        <v>410</v>
      </c>
      <c r="B31" s="5">
        <v>-1094</v>
      </c>
      <c r="D31" s="3" t="s">
        <v>3</v>
      </c>
      <c r="E31" s="2" t="s">
        <v>3</v>
      </c>
      <c r="F31" s="5">
        <v>-1060</v>
      </c>
      <c r="H31" s="3" t="s">
        <v>3</v>
      </c>
      <c r="I31" s="2" t="s">
        <v>3</v>
      </c>
      <c r="J31" s="5">
        <v>-1279</v>
      </c>
      <c r="L31" s="3" t="s">
        <v>3</v>
      </c>
    </row>
    <row r="32" spans="1:12" ht="12" x14ac:dyDescent="0.3">
      <c r="A32" s="3" t="s">
        <v>411</v>
      </c>
      <c r="B32" s="5">
        <v>1231</v>
      </c>
      <c r="D32" s="2" t="s">
        <v>3</v>
      </c>
      <c r="E32" s="2" t="s">
        <v>3</v>
      </c>
      <c r="F32" s="5">
        <v>1078</v>
      </c>
      <c r="H32" s="2" t="s">
        <v>3</v>
      </c>
      <c r="I32" s="2" t="s">
        <v>3</v>
      </c>
      <c r="J32" s="5">
        <v>1385</v>
      </c>
      <c r="L32" s="2" t="s">
        <v>3</v>
      </c>
    </row>
    <row r="33" spans="1:12" ht="12" x14ac:dyDescent="0.3">
      <c r="A33" s="3" t="s">
        <v>412</v>
      </c>
      <c r="B33" s="5">
        <v>-2998</v>
      </c>
      <c r="D33" s="3" t="s">
        <v>3</v>
      </c>
      <c r="E33" s="2" t="s">
        <v>3</v>
      </c>
      <c r="F33" s="5">
        <v>-2969</v>
      </c>
      <c r="H33" s="3" t="s">
        <v>3</v>
      </c>
      <c r="I33" s="2" t="s">
        <v>3</v>
      </c>
      <c r="J33" s="5">
        <v>-2502</v>
      </c>
      <c r="L33" s="3" t="s">
        <v>3</v>
      </c>
    </row>
    <row r="34" spans="1:12" ht="12" x14ac:dyDescent="0.3">
      <c r="A34" s="3" t="s">
        <v>413</v>
      </c>
      <c r="B34" s="5">
        <v>-4</v>
      </c>
      <c r="D34" s="3" t="s">
        <v>3</v>
      </c>
      <c r="E34" s="2" t="s">
        <v>3</v>
      </c>
      <c r="F34" s="5">
        <v>4</v>
      </c>
      <c r="H34" s="2" t="s">
        <v>3</v>
      </c>
      <c r="I34" s="2" t="s">
        <v>3</v>
      </c>
      <c r="J34" s="5">
        <v>30</v>
      </c>
      <c r="L34" s="2" t="s">
        <v>3</v>
      </c>
    </row>
    <row r="35" spans="1:12" ht="12" x14ac:dyDescent="0.3">
      <c r="A35" s="3" t="s">
        <v>344</v>
      </c>
      <c r="B35" s="5">
        <v>-2865</v>
      </c>
      <c r="D35" s="3" t="s">
        <v>3</v>
      </c>
      <c r="E35" s="2" t="s">
        <v>3</v>
      </c>
      <c r="F35" s="5">
        <v>-2947</v>
      </c>
      <c r="H35" s="3" t="s">
        <v>3</v>
      </c>
      <c r="I35" s="2" t="s">
        <v>3</v>
      </c>
      <c r="J35" s="5">
        <v>-2366</v>
      </c>
      <c r="L35" s="3" t="s">
        <v>3</v>
      </c>
    </row>
    <row r="36" spans="1:12" ht="12" x14ac:dyDescent="0.3">
      <c r="A36" s="1" t="s">
        <v>414</v>
      </c>
      <c r="B36" s="2" t="s">
        <v>3</v>
      </c>
      <c r="E36" s="2" t="s">
        <v>3</v>
      </c>
      <c r="F36" s="2" t="s">
        <v>3</v>
      </c>
      <c r="I36" s="2" t="s">
        <v>3</v>
      </c>
      <c r="J36" s="2" t="s">
        <v>3</v>
      </c>
    </row>
    <row r="37" spans="1:12" ht="12" x14ac:dyDescent="0.3">
      <c r="A37" s="3" t="s">
        <v>415</v>
      </c>
      <c r="B37" s="5">
        <v>210</v>
      </c>
      <c r="D37" s="2" t="s">
        <v>3</v>
      </c>
      <c r="E37" s="2" t="s">
        <v>3</v>
      </c>
      <c r="F37" s="5">
        <v>80</v>
      </c>
      <c r="H37" s="2" t="s">
        <v>3</v>
      </c>
      <c r="I37" s="2" t="s">
        <v>3</v>
      </c>
      <c r="J37" s="5">
        <v>-236</v>
      </c>
      <c r="L37" s="3" t="s">
        <v>3</v>
      </c>
    </row>
    <row r="38" spans="1:12" ht="12" x14ac:dyDescent="0.3">
      <c r="A38" s="3" t="s">
        <v>416</v>
      </c>
      <c r="B38" s="5">
        <v>298</v>
      </c>
      <c r="D38" s="2" t="s">
        <v>3</v>
      </c>
      <c r="E38" s="2" t="s">
        <v>3</v>
      </c>
      <c r="F38" s="3" t="s">
        <v>157</v>
      </c>
      <c r="H38" s="2" t="s">
        <v>3</v>
      </c>
      <c r="I38" s="2" t="s">
        <v>3</v>
      </c>
      <c r="J38" s="5">
        <v>3782</v>
      </c>
      <c r="L38" s="2" t="s">
        <v>3</v>
      </c>
    </row>
    <row r="39" spans="1:12" ht="12" x14ac:dyDescent="0.3">
      <c r="A39" s="3" t="s">
        <v>417</v>
      </c>
      <c r="B39" s="5">
        <v>-89</v>
      </c>
      <c r="D39" s="3" t="s">
        <v>3</v>
      </c>
      <c r="E39" s="2" t="s">
        <v>3</v>
      </c>
      <c r="F39" s="5">
        <v>-86</v>
      </c>
      <c r="H39" s="3" t="s">
        <v>3</v>
      </c>
      <c r="I39" s="2" t="s">
        <v>3</v>
      </c>
      <c r="J39" s="5">
        <v>-2200</v>
      </c>
      <c r="L39" s="3" t="s">
        <v>3</v>
      </c>
    </row>
    <row r="40" spans="1:12" ht="12" x14ac:dyDescent="0.3">
      <c r="A40" s="3" t="s">
        <v>418</v>
      </c>
      <c r="B40" s="5">
        <v>-272</v>
      </c>
      <c r="D40" s="3" t="s">
        <v>3</v>
      </c>
      <c r="E40" s="2" t="s">
        <v>3</v>
      </c>
      <c r="F40" s="5">
        <v>-217</v>
      </c>
      <c r="H40" s="3" t="s">
        <v>3</v>
      </c>
      <c r="I40" s="2" t="s">
        <v>3</v>
      </c>
      <c r="J40" s="5">
        <v>-202</v>
      </c>
      <c r="L40" s="3" t="s">
        <v>3</v>
      </c>
    </row>
    <row r="41" spans="1:12" ht="12" x14ac:dyDescent="0.3">
      <c r="A41" s="3" t="s">
        <v>393</v>
      </c>
      <c r="B41" s="5">
        <v>-247</v>
      </c>
      <c r="D41" s="3" t="s">
        <v>3</v>
      </c>
      <c r="E41" s="2" t="s">
        <v>3</v>
      </c>
      <c r="F41" s="5">
        <v>-328</v>
      </c>
      <c r="H41" s="3" t="s">
        <v>3</v>
      </c>
      <c r="I41" s="2" t="s">
        <v>3</v>
      </c>
      <c r="J41" s="5">
        <v>-469</v>
      </c>
      <c r="L41" s="3" t="s">
        <v>3</v>
      </c>
    </row>
    <row r="42" spans="1:12" ht="12" x14ac:dyDescent="0.3">
      <c r="A42" s="3" t="s">
        <v>419</v>
      </c>
      <c r="B42" s="5">
        <v>-1038</v>
      </c>
      <c r="D42" s="3" t="s">
        <v>3</v>
      </c>
      <c r="E42" s="2" t="s">
        <v>3</v>
      </c>
      <c r="F42" s="5">
        <v>-689</v>
      </c>
      <c r="H42" s="3" t="s">
        <v>3</v>
      </c>
      <c r="I42" s="2" t="s">
        <v>3</v>
      </c>
      <c r="J42" s="5">
        <v>-3904</v>
      </c>
      <c r="L42" s="3" t="s">
        <v>3</v>
      </c>
    </row>
    <row r="43" spans="1:12" ht="12" x14ac:dyDescent="0.3">
      <c r="A43" s="3" t="s">
        <v>420</v>
      </c>
      <c r="B43" s="5">
        <v>-9</v>
      </c>
      <c r="D43" s="3" t="s">
        <v>3</v>
      </c>
      <c r="E43" s="2" t="s">
        <v>3</v>
      </c>
      <c r="F43" s="5">
        <v>-41</v>
      </c>
      <c r="H43" s="3" t="s">
        <v>3</v>
      </c>
      <c r="I43" s="2" t="s">
        <v>3</v>
      </c>
      <c r="J43" s="5">
        <v>11</v>
      </c>
      <c r="L43" s="2" t="s">
        <v>3</v>
      </c>
    </row>
    <row r="44" spans="1:12" ht="12" x14ac:dyDescent="0.3">
      <c r="A44" s="3" t="s">
        <v>345</v>
      </c>
      <c r="B44" s="5">
        <v>-1147</v>
      </c>
      <c r="D44" s="3" t="s">
        <v>3</v>
      </c>
      <c r="E44" s="2" t="s">
        <v>3</v>
      </c>
      <c r="F44" s="5">
        <v>-1281</v>
      </c>
      <c r="H44" s="3" t="s">
        <v>3</v>
      </c>
      <c r="I44" s="2" t="s">
        <v>3</v>
      </c>
      <c r="J44" s="5">
        <v>-3218</v>
      </c>
      <c r="L44" s="3" t="s">
        <v>3</v>
      </c>
    </row>
    <row r="45" spans="1:12" ht="12" x14ac:dyDescent="0.3">
      <c r="A45" s="1" t="s">
        <v>421</v>
      </c>
      <c r="B45" s="5">
        <v>-15</v>
      </c>
      <c r="D45" s="3" t="s">
        <v>3</v>
      </c>
      <c r="E45" s="2" t="s">
        <v>3</v>
      </c>
      <c r="F45" s="5">
        <v>-37</v>
      </c>
      <c r="H45" s="3" t="s">
        <v>3</v>
      </c>
      <c r="I45" s="2" t="s">
        <v>3</v>
      </c>
      <c r="J45" s="5">
        <v>25</v>
      </c>
      <c r="L45" s="2" t="s">
        <v>3</v>
      </c>
    </row>
    <row r="46" spans="1:12" ht="12" x14ac:dyDescent="0.3">
      <c r="A46" s="1" t="s">
        <v>422</v>
      </c>
    </row>
    <row r="47" spans="1:12" ht="12" x14ac:dyDescent="0.3">
      <c r="A47" s="3" t="s">
        <v>423</v>
      </c>
      <c r="B47" s="5">
        <v>2329</v>
      </c>
      <c r="D47" s="2" t="s">
        <v>3</v>
      </c>
      <c r="E47" s="2" t="s">
        <v>3</v>
      </c>
      <c r="F47" s="5">
        <v>1509</v>
      </c>
      <c r="H47" s="2" t="s">
        <v>3</v>
      </c>
      <c r="I47" s="2" t="s">
        <v>3</v>
      </c>
      <c r="J47" s="5">
        <v>1167</v>
      </c>
      <c r="L47" s="2" t="s">
        <v>3</v>
      </c>
    </row>
    <row r="48" spans="1:12" ht="12" x14ac:dyDescent="0.3">
      <c r="A48" s="1" t="s">
        <v>424</v>
      </c>
      <c r="B48" s="5">
        <v>6055</v>
      </c>
      <c r="D48" s="2" t="s">
        <v>3</v>
      </c>
      <c r="E48" s="2" t="s">
        <v>3</v>
      </c>
      <c r="F48" s="5">
        <v>4546</v>
      </c>
      <c r="H48" s="2" t="s">
        <v>3</v>
      </c>
      <c r="I48" s="2" t="s">
        <v>3</v>
      </c>
      <c r="J48" s="5">
        <v>3379</v>
      </c>
      <c r="L48" s="2" t="s">
        <v>3</v>
      </c>
    </row>
    <row r="49" spans="1:12" ht="12" x14ac:dyDescent="0.3">
      <c r="A49" s="1" t="s">
        <v>425</v>
      </c>
    </row>
    <row r="50" spans="1:12" ht="12" x14ac:dyDescent="0.3">
      <c r="A50" s="1" t="s">
        <v>426</v>
      </c>
      <c r="B50" s="7">
        <v>8384</v>
      </c>
      <c r="D50" s="2" t="s">
        <v>3</v>
      </c>
      <c r="E50" s="2" t="s">
        <v>3</v>
      </c>
      <c r="F50" s="7">
        <v>6055</v>
      </c>
      <c r="H50" s="2" t="s">
        <v>3</v>
      </c>
      <c r="I50" s="2" t="s">
        <v>3</v>
      </c>
      <c r="J50" s="7">
        <v>4546</v>
      </c>
      <c r="L50" s="2" t="s">
        <v>3</v>
      </c>
    </row>
    <row r="51" spans="1:12" ht="12" x14ac:dyDescent="0.3">
      <c r="A51" s="2" t="s">
        <v>3</v>
      </c>
      <c r="B51" s="2" t="s">
        <v>3</v>
      </c>
      <c r="E51" s="2" t="s">
        <v>3</v>
      </c>
      <c r="F51" s="2" t="s">
        <v>3</v>
      </c>
      <c r="I51" s="2" t="s">
        <v>3</v>
      </c>
      <c r="J51" s="2" t="s">
        <v>3</v>
      </c>
    </row>
    <row r="52" spans="1:12" ht="12" x14ac:dyDescent="0.3">
      <c r="A52" s="1" t="s">
        <v>427</v>
      </c>
      <c r="B52" s="2" t="s">
        <v>3</v>
      </c>
      <c r="E52" s="2" t="s">
        <v>3</v>
      </c>
      <c r="F52" s="2" t="s">
        <v>3</v>
      </c>
      <c r="I52" s="2" t="s">
        <v>3</v>
      </c>
      <c r="J52" s="2" t="s">
        <v>3</v>
      </c>
    </row>
    <row r="53" spans="1:12" ht="12" x14ac:dyDescent="0.3">
      <c r="A53" s="3" t="s">
        <v>428</v>
      </c>
      <c r="B53" s="2" t="s">
        <v>3</v>
      </c>
      <c r="E53" s="2" t="s">
        <v>3</v>
      </c>
      <c r="F53" s="2" t="s">
        <v>3</v>
      </c>
      <c r="I53" s="2" t="s">
        <v>3</v>
      </c>
      <c r="J53" s="2" t="s">
        <v>3</v>
      </c>
    </row>
    <row r="54" spans="1:12" ht="12" x14ac:dyDescent="0.3">
      <c r="A54" s="3" t="s">
        <v>429</v>
      </c>
      <c r="B54" s="7">
        <v>141</v>
      </c>
      <c r="D54" s="2" t="s">
        <v>3</v>
      </c>
      <c r="E54" s="2" t="s">
        <v>3</v>
      </c>
      <c r="F54" s="7">
        <v>143</v>
      </c>
      <c r="H54" s="2" t="s">
        <v>3</v>
      </c>
      <c r="I54" s="2" t="s">
        <v>3</v>
      </c>
      <c r="J54" s="7">
        <v>131</v>
      </c>
      <c r="L54" s="2" t="s">
        <v>3</v>
      </c>
    </row>
    <row r="55" spans="1:12" ht="12" x14ac:dyDescent="0.3">
      <c r="A55" s="3" t="s">
        <v>430</v>
      </c>
      <c r="B55" s="7">
        <v>1187</v>
      </c>
      <c r="D55" s="2" t="s">
        <v>3</v>
      </c>
      <c r="E55" s="2" t="s">
        <v>3</v>
      </c>
      <c r="F55" s="7">
        <v>1204</v>
      </c>
      <c r="H55" s="2" t="s">
        <v>3</v>
      </c>
      <c r="I55" s="2" t="s">
        <v>3</v>
      </c>
      <c r="J55" s="7">
        <v>1185</v>
      </c>
      <c r="L55" s="2" t="s">
        <v>3</v>
      </c>
    </row>
    <row r="56" spans="1:12" ht="12" x14ac:dyDescent="0.3">
      <c r="A56" s="1" t="s">
        <v>431</v>
      </c>
      <c r="B56" s="2" t="s">
        <v>3</v>
      </c>
      <c r="E56" s="2" t="s">
        <v>3</v>
      </c>
      <c r="F56" s="2" t="s">
        <v>3</v>
      </c>
      <c r="I56" s="2" t="s">
        <v>3</v>
      </c>
      <c r="J56" s="2" t="s">
        <v>3</v>
      </c>
    </row>
    <row r="57" spans="1:12" ht="12" x14ac:dyDescent="0.3">
      <c r="A57" s="1" t="s">
        <v>432</v>
      </c>
    </row>
    <row r="58" spans="1:12" ht="12" x14ac:dyDescent="0.3">
      <c r="A58" s="3" t="s">
        <v>433</v>
      </c>
      <c r="B58" s="7">
        <v>286</v>
      </c>
      <c r="D58" s="2" t="s">
        <v>3</v>
      </c>
      <c r="E58" s="2" t="s">
        <v>3</v>
      </c>
      <c r="F58" s="7">
        <v>250</v>
      </c>
      <c r="H58" s="2" t="s">
        <v>3</v>
      </c>
      <c r="I58" s="2" t="s">
        <v>3</v>
      </c>
      <c r="J58" s="3" t="s">
        <v>353</v>
      </c>
      <c r="L58" s="2" t="s">
        <v>3</v>
      </c>
    </row>
    <row r="59" spans="1:12" ht="12" x14ac:dyDescent="0.3">
      <c r="A59" s="2" t="s">
        <v>3</v>
      </c>
    </row>
    <row r="60" spans="1:12" ht="12" x14ac:dyDescent="0.3">
      <c r="A60" s="2" t="s">
        <v>3</v>
      </c>
    </row>
    <row r="61" spans="1:12" ht="12" x14ac:dyDescent="0.3">
      <c r="A61" s="1" t="s">
        <v>8</v>
      </c>
    </row>
    <row r="62" spans="1:12" ht="12" x14ac:dyDescent="0.3">
      <c r="A62" s="1" t="s">
        <v>9</v>
      </c>
    </row>
    <row r="63" spans="1:12" ht="12" x14ac:dyDescent="0.3">
      <c r="A63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20"/>
  <sheetViews>
    <sheetView workbookViewId="0">
      <selection activeCell="H23" sqref="H23"/>
    </sheetView>
  </sheetViews>
  <sheetFormatPr defaultColWidth="10.3984375" defaultRowHeight="11.5" x14ac:dyDescent="0.25"/>
  <cols>
    <col min="1" max="1" width="28.296875" customWidth="1"/>
    <col min="2" max="8" width="9.09765625" customWidth="1"/>
  </cols>
  <sheetData>
    <row r="1" spans="1:8" ht="12" x14ac:dyDescent="0.3">
      <c r="A1" s="1" t="s">
        <v>0</v>
      </c>
    </row>
    <row r="2" spans="1:8" ht="12" x14ac:dyDescent="0.3">
      <c r="A2" s="1" t="s">
        <v>1</v>
      </c>
    </row>
    <row r="3" spans="1:8" ht="12" x14ac:dyDescent="0.3">
      <c r="A3" s="1" t="s">
        <v>2</v>
      </c>
    </row>
    <row r="4" spans="1:8" ht="12" x14ac:dyDescent="0.3">
      <c r="A4" s="2" t="s">
        <v>3</v>
      </c>
    </row>
    <row r="5" spans="1:8" ht="12" x14ac:dyDescent="0.3">
      <c r="A5" s="1" t="s">
        <v>434</v>
      </c>
    </row>
    <row r="6" spans="1:8" ht="12" x14ac:dyDescent="0.3">
      <c r="A6" s="2" t="s">
        <v>3</v>
      </c>
    </row>
    <row r="7" spans="1:8" ht="12" x14ac:dyDescent="0.3">
      <c r="A7" s="2" t="s">
        <v>3</v>
      </c>
    </row>
    <row r="8" spans="1:8" ht="12" x14ac:dyDescent="0.3">
      <c r="A8" s="2" t="s">
        <v>3</v>
      </c>
    </row>
    <row r="9" spans="1:8" ht="12" x14ac:dyDescent="0.3">
      <c r="A9" s="2" t="s">
        <v>3</v>
      </c>
    </row>
    <row r="10" spans="1:8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</row>
    <row r="11" spans="1:8" ht="12" x14ac:dyDescent="0.3">
      <c r="A11" s="2" t="s">
        <v>3</v>
      </c>
      <c r="B11" s="4">
        <v>2019</v>
      </c>
      <c r="E11" s="2" t="s">
        <v>3</v>
      </c>
      <c r="F11" s="4">
        <v>2018</v>
      </c>
    </row>
    <row r="12" spans="1:8" ht="12" x14ac:dyDescent="0.3">
      <c r="A12" s="3" t="s">
        <v>262</v>
      </c>
      <c r="B12" s="7">
        <v>8415</v>
      </c>
      <c r="D12" s="2" t="s">
        <v>3</v>
      </c>
      <c r="E12" s="2" t="s">
        <v>3</v>
      </c>
      <c r="F12" s="7">
        <v>8081</v>
      </c>
      <c r="H12" s="2" t="s">
        <v>3</v>
      </c>
    </row>
    <row r="13" spans="1:8" ht="12" x14ac:dyDescent="0.3">
      <c r="A13" s="3" t="s">
        <v>151</v>
      </c>
      <c r="B13" s="5">
        <v>1123</v>
      </c>
      <c r="D13" s="2" t="s">
        <v>3</v>
      </c>
      <c r="E13" s="2" t="s">
        <v>3</v>
      </c>
      <c r="F13" s="5">
        <v>1189</v>
      </c>
      <c r="H13" s="2" t="s">
        <v>3</v>
      </c>
    </row>
    <row r="14" spans="1:8" ht="12" x14ac:dyDescent="0.3">
      <c r="A14" s="3" t="s">
        <v>164</v>
      </c>
      <c r="B14" s="5">
        <v>1857</v>
      </c>
      <c r="D14" s="2" t="s">
        <v>3</v>
      </c>
      <c r="E14" s="2" t="s">
        <v>3</v>
      </c>
      <c r="F14" s="5">
        <v>1770</v>
      </c>
      <c r="H14" s="2" t="s">
        <v>3</v>
      </c>
    </row>
    <row r="15" spans="1:8" ht="12" x14ac:dyDescent="0.3">
      <c r="A15" s="3" t="s">
        <v>195</v>
      </c>
      <c r="B15" s="7">
        <v>11395</v>
      </c>
      <c r="D15" s="2" t="s">
        <v>3</v>
      </c>
      <c r="E15" s="2" t="s">
        <v>3</v>
      </c>
      <c r="F15" s="7">
        <v>11040</v>
      </c>
      <c r="H15" s="2" t="s">
        <v>3</v>
      </c>
    </row>
    <row r="16" spans="1:8" ht="12" x14ac:dyDescent="0.3">
      <c r="A16" s="2" t="s">
        <v>3</v>
      </c>
    </row>
    <row r="17" spans="1:1" ht="12" x14ac:dyDescent="0.3">
      <c r="A17" s="2" t="s">
        <v>3</v>
      </c>
    </row>
    <row r="18" spans="1:1" ht="12" x14ac:dyDescent="0.3">
      <c r="A18" s="1" t="s">
        <v>8</v>
      </c>
    </row>
    <row r="19" spans="1:1" ht="12" x14ac:dyDescent="0.3">
      <c r="A19" s="1" t="s">
        <v>9</v>
      </c>
    </row>
    <row r="20" spans="1:1" ht="12" x14ac:dyDescent="0.3">
      <c r="A20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L20"/>
  <sheetViews>
    <sheetView workbookViewId="0">
      <selection activeCell="H23" sqref="H23"/>
    </sheetView>
  </sheetViews>
  <sheetFormatPr defaultColWidth="10.3984375" defaultRowHeight="11.5" x14ac:dyDescent="0.25"/>
  <cols>
    <col min="1" max="1" width="39" customWidth="1"/>
    <col min="2" max="12" width="9.09765625" customWidth="1"/>
  </cols>
  <sheetData>
    <row r="1" spans="1:12" ht="12" x14ac:dyDescent="0.3">
      <c r="A1" s="1" t="s">
        <v>0</v>
      </c>
    </row>
    <row r="2" spans="1:12" ht="12" x14ac:dyDescent="0.3">
      <c r="A2" s="1" t="s">
        <v>1</v>
      </c>
    </row>
    <row r="3" spans="1:12" ht="12" x14ac:dyDescent="0.3">
      <c r="A3" s="1" t="s">
        <v>2</v>
      </c>
    </row>
    <row r="4" spans="1:12" ht="12" x14ac:dyDescent="0.3">
      <c r="A4" s="2" t="s">
        <v>3</v>
      </c>
    </row>
    <row r="5" spans="1:12" ht="12" x14ac:dyDescent="0.3">
      <c r="A5" s="1" t="s">
        <v>435</v>
      </c>
    </row>
    <row r="6" spans="1:12" ht="12" x14ac:dyDescent="0.3">
      <c r="A6" s="2" t="s">
        <v>3</v>
      </c>
    </row>
    <row r="7" spans="1:12" ht="12" x14ac:dyDescent="0.3">
      <c r="A7" s="2" t="s">
        <v>3</v>
      </c>
    </row>
    <row r="8" spans="1:12" ht="12" x14ac:dyDescent="0.3">
      <c r="A8" s="2" t="s">
        <v>3</v>
      </c>
    </row>
    <row r="9" spans="1:12" ht="12" x14ac:dyDescent="0.3">
      <c r="A9" s="2" t="s">
        <v>3</v>
      </c>
    </row>
    <row r="10" spans="1:12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</row>
    <row r="11" spans="1:12" ht="12" x14ac:dyDescent="0.3">
      <c r="A11" s="2" t="s">
        <v>3</v>
      </c>
      <c r="B11" s="3" t="s">
        <v>436</v>
      </c>
      <c r="E11" s="2" t="s">
        <v>3</v>
      </c>
      <c r="F11" s="3" t="s">
        <v>437</v>
      </c>
      <c r="I11" s="2" t="s">
        <v>3</v>
      </c>
      <c r="J11" s="3" t="s">
        <v>438</v>
      </c>
    </row>
    <row r="12" spans="1:12" ht="12" x14ac:dyDescent="0.3">
      <c r="A12" s="3" t="s">
        <v>439</v>
      </c>
      <c r="B12" s="2" t="s">
        <v>3</v>
      </c>
      <c r="E12" s="2" t="s">
        <v>3</v>
      </c>
      <c r="F12" s="2" t="s">
        <v>3</v>
      </c>
      <c r="I12" s="2" t="s">
        <v>3</v>
      </c>
      <c r="J12" s="2" t="s">
        <v>3</v>
      </c>
    </row>
    <row r="13" spans="1:12" ht="12" x14ac:dyDescent="0.3">
      <c r="A13" s="3" t="s">
        <v>315</v>
      </c>
      <c r="B13" s="7">
        <v>149351</v>
      </c>
      <c r="D13" s="2" t="s">
        <v>3</v>
      </c>
      <c r="E13" s="2" t="s">
        <v>3</v>
      </c>
      <c r="F13" s="7">
        <v>1332</v>
      </c>
      <c r="H13" s="2" t="s">
        <v>3</v>
      </c>
      <c r="I13" s="2" t="s">
        <v>3</v>
      </c>
      <c r="J13" s="7">
        <v>148019</v>
      </c>
      <c r="L13" s="2" t="s">
        <v>3</v>
      </c>
    </row>
    <row r="14" spans="1:12" ht="12" x14ac:dyDescent="0.3">
      <c r="A14" s="3" t="s">
        <v>440</v>
      </c>
      <c r="B14" s="5">
        <v>132886</v>
      </c>
      <c r="D14" s="2" t="s">
        <v>3</v>
      </c>
      <c r="E14" s="2" t="s">
        <v>3</v>
      </c>
      <c r="F14" s="5">
        <v>1324</v>
      </c>
      <c r="H14" s="2" t="s">
        <v>3</v>
      </c>
      <c r="I14" s="2" t="s">
        <v>3</v>
      </c>
      <c r="J14" s="5">
        <v>131562</v>
      </c>
      <c r="L14" s="2" t="s">
        <v>3</v>
      </c>
    </row>
    <row r="15" spans="1:12" ht="12" x14ac:dyDescent="0.3">
      <c r="A15" s="3" t="s">
        <v>441</v>
      </c>
      <c r="B15" s="5">
        <v>16465</v>
      </c>
      <c r="D15" s="2" t="s">
        <v>3</v>
      </c>
      <c r="E15" s="2" t="s">
        <v>3</v>
      </c>
      <c r="F15" s="5">
        <v>8</v>
      </c>
      <c r="H15" s="2" t="s">
        <v>3</v>
      </c>
      <c r="I15" s="2" t="s">
        <v>3</v>
      </c>
      <c r="J15" s="5">
        <v>16457</v>
      </c>
      <c r="L15" s="2" t="s">
        <v>3</v>
      </c>
    </row>
    <row r="16" spans="1:12" ht="12" x14ac:dyDescent="0.3">
      <c r="A16" s="2" t="s">
        <v>3</v>
      </c>
    </row>
    <row r="17" spans="1:1" ht="12" x14ac:dyDescent="0.3">
      <c r="A17" s="2" t="s">
        <v>3</v>
      </c>
    </row>
    <row r="18" spans="1:1" ht="12" x14ac:dyDescent="0.3">
      <c r="A18" s="1" t="s">
        <v>8</v>
      </c>
    </row>
    <row r="19" spans="1:1" ht="12" x14ac:dyDescent="0.3">
      <c r="A19" s="1" t="s">
        <v>9</v>
      </c>
    </row>
    <row r="20" spans="1:1" ht="12" x14ac:dyDescent="0.3">
      <c r="A20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L22"/>
  <sheetViews>
    <sheetView workbookViewId="0">
      <selection activeCell="H23" sqref="H23"/>
    </sheetView>
  </sheetViews>
  <sheetFormatPr defaultColWidth="10.3984375" defaultRowHeight="11.5" x14ac:dyDescent="0.25"/>
  <cols>
    <col min="1" max="1" width="39" customWidth="1"/>
    <col min="2" max="12" width="9.09765625" customWidth="1"/>
  </cols>
  <sheetData>
    <row r="1" spans="1:12" ht="12" x14ac:dyDescent="0.3">
      <c r="A1" s="1" t="s">
        <v>0</v>
      </c>
    </row>
    <row r="2" spans="1:12" ht="12" x14ac:dyDescent="0.3">
      <c r="A2" s="1" t="s">
        <v>1</v>
      </c>
    </row>
    <row r="3" spans="1:12" ht="12" x14ac:dyDescent="0.3">
      <c r="A3" s="1" t="s">
        <v>2</v>
      </c>
    </row>
    <row r="4" spans="1:12" ht="12" x14ac:dyDescent="0.3">
      <c r="A4" s="2" t="s">
        <v>3</v>
      </c>
    </row>
    <row r="5" spans="1:12" ht="12" x14ac:dyDescent="0.3">
      <c r="A5" s="1" t="s">
        <v>442</v>
      </c>
    </row>
    <row r="6" spans="1:12" ht="12" x14ac:dyDescent="0.3">
      <c r="A6" s="2" t="s">
        <v>3</v>
      </c>
    </row>
    <row r="7" spans="1:12" ht="12" x14ac:dyDescent="0.3">
      <c r="A7" s="2" t="s">
        <v>3</v>
      </c>
    </row>
    <row r="8" spans="1:12" ht="12" x14ac:dyDescent="0.3">
      <c r="A8" s="2" t="s">
        <v>3</v>
      </c>
    </row>
    <row r="9" spans="1:12" ht="12" x14ac:dyDescent="0.3">
      <c r="A9" s="2" t="s">
        <v>3</v>
      </c>
    </row>
    <row r="10" spans="1:12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</row>
    <row r="11" spans="1:12" ht="12" x14ac:dyDescent="0.3">
      <c r="A11" s="3" t="s">
        <v>443</v>
      </c>
      <c r="B11" s="3" t="s">
        <v>444</v>
      </c>
      <c r="E11" s="2" t="s">
        <v>3</v>
      </c>
      <c r="F11" s="3" t="s">
        <v>445</v>
      </c>
      <c r="I11" s="2" t="s">
        <v>3</v>
      </c>
      <c r="J11" s="3" t="s">
        <v>446</v>
      </c>
    </row>
    <row r="12" spans="1:12" ht="12" x14ac:dyDescent="0.3">
      <c r="A12" s="2" t="s">
        <v>3</v>
      </c>
      <c r="B12" s="3" t="s">
        <v>447</v>
      </c>
      <c r="E12" s="2" t="s">
        <v>3</v>
      </c>
      <c r="F12" s="3" t="s">
        <v>448</v>
      </c>
      <c r="I12" s="2" t="s">
        <v>3</v>
      </c>
      <c r="J12" s="3" t="s">
        <v>447</v>
      </c>
    </row>
    <row r="13" spans="1:12" ht="12" x14ac:dyDescent="0.3">
      <c r="A13" s="3" t="s">
        <v>449</v>
      </c>
      <c r="B13" s="2" t="s">
        <v>3</v>
      </c>
      <c r="E13" s="2" t="s">
        <v>3</v>
      </c>
      <c r="F13" s="2" t="s">
        <v>3</v>
      </c>
      <c r="I13" s="2" t="s">
        <v>3</v>
      </c>
      <c r="J13" s="2" t="s">
        <v>3</v>
      </c>
    </row>
    <row r="14" spans="1:12" ht="12" x14ac:dyDescent="0.3">
      <c r="A14" s="3" t="s">
        <v>450</v>
      </c>
      <c r="B14" s="7">
        <v>716</v>
      </c>
      <c r="D14" s="2" t="s">
        <v>3</v>
      </c>
      <c r="E14" s="2" t="s">
        <v>3</v>
      </c>
      <c r="F14" s="7">
        <v>6</v>
      </c>
      <c r="H14" s="2" t="s">
        <v>3</v>
      </c>
      <c r="I14" s="2" t="s">
        <v>3</v>
      </c>
      <c r="J14" s="7">
        <v>722</v>
      </c>
      <c r="L14" s="2" t="s">
        <v>3</v>
      </c>
    </row>
    <row r="15" spans="1:12" ht="12" x14ac:dyDescent="0.3">
      <c r="A15" s="3" t="s">
        <v>451</v>
      </c>
      <c r="B15" s="2" t="s">
        <v>3</v>
      </c>
      <c r="E15" s="2" t="s">
        <v>3</v>
      </c>
      <c r="F15" s="2" t="s">
        <v>3</v>
      </c>
      <c r="I15" s="2" t="s">
        <v>3</v>
      </c>
      <c r="J15" s="2" t="s">
        <v>3</v>
      </c>
    </row>
    <row r="16" spans="1:12" ht="12" x14ac:dyDescent="0.3">
      <c r="A16" s="3" t="s">
        <v>452</v>
      </c>
      <c r="B16" s="5">
        <v>338</v>
      </c>
      <c r="D16" s="2" t="s">
        <v>3</v>
      </c>
      <c r="E16" s="2" t="s">
        <v>3</v>
      </c>
      <c r="F16" s="2" t="s">
        <v>3</v>
      </c>
      <c r="I16" s="2" t="s">
        <v>3</v>
      </c>
      <c r="J16" s="5">
        <v>338</v>
      </c>
      <c r="L16" s="2" t="s">
        <v>3</v>
      </c>
    </row>
    <row r="17" spans="1:12" ht="12" x14ac:dyDescent="0.3">
      <c r="A17" s="1" t="s">
        <v>453</v>
      </c>
      <c r="B17" s="7">
        <v>1054</v>
      </c>
      <c r="D17" s="2" t="s">
        <v>3</v>
      </c>
      <c r="E17" s="2" t="s">
        <v>3</v>
      </c>
      <c r="F17" s="7">
        <v>6</v>
      </c>
      <c r="H17" s="2" t="s">
        <v>3</v>
      </c>
      <c r="I17" s="2" t="s">
        <v>3</v>
      </c>
      <c r="J17" s="7">
        <v>1060</v>
      </c>
      <c r="L17" s="2" t="s">
        <v>3</v>
      </c>
    </row>
    <row r="18" spans="1:12" ht="12" x14ac:dyDescent="0.3">
      <c r="A18" s="2" t="s">
        <v>3</v>
      </c>
    </row>
    <row r="19" spans="1:12" ht="12" x14ac:dyDescent="0.3">
      <c r="A19" s="2" t="s">
        <v>3</v>
      </c>
    </row>
    <row r="20" spans="1:12" ht="12" x14ac:dyDescent="0.3">
      <c r="A20" s="1" t="s">
        <v>8</v>
      </c>
    </row>
    <row r="21" spans="1:12" ht="12" x14ac:dyDescent="0.3">
      <c r="A21" s="1" t="s">
        <v>9</v>
      </c>
    </row>
    <row r="22" spans="1:12" ht="12" x14ac:dyDescent="0.3">
      <c r="A22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"/>
  <sheetViews>
    <sheetView workbookViewId="0">
      <selection activeCell="H23" sqref="H23"/>
    </sheetView>
  </sheetViews>
  <sheetFormatPr defaultColWidth="10.3984375" defaultRowHeight="11.5" x14ac:dyDescent="0.25"/>
  <cols>
    <col min="1" max="1" width="36.69921875" customWidth="1"/>
    <col min="2" max="2" width="11.8984375" customWidth="1"/>
    <col min="3" max="4" width="9.09765625" customWidth="1"/>
    <col min="5" max="5" width="11.8984375" customWidth="1"/>
    <col min="6" max="7" width="9.09765625" customWidth="1"/>
    <col min="8" max="8" width="11.8984375" customWidth="1"/>
    <col min="9" max="9" width="9.09765625" customWidth="1"/>
  </cols>
  <sheetData>
    <row r="1" spans="1:9" ht="12" x14ac:dyDescent="0.3">
      <c r="A1" s="1" t="s">
        <v>0</v>
      </c>
    </row>
    <row r="2" spans="1:9" ht="12" x14ac:dyDescent="0.3">
      <c r="A2" s="1" t="s">
        <v>1</v>
      </c>
    </row>
    <row r="3" spans="1:9" ht="12" x14ac:dyDescent="0.3">
      <c r="A3" s="1" t="s">
        <v>2</v>
      </c>
    </row>
    <row r="4" spans="1:9" ht="12" x14ac:dyDescent="0.3">
      <c r="A4" s="2" t="s">
        <v>3</v>
      </c>
    </row>
    <row r="5" spans="1:9" ht="12" x14ac:dyDescent="0.3">
      <c r="A5" s="1" t="s">
        <v>77</v>
      </c>
    </row>
    <row r="6" spans="1:9" ht="12" x14ac:dyDescent="0.3">
      <c r="A6" s="2" t="s">
        <v>3</v>
      </c>
    </row>
    <row r="7" spans="1:9" ht="12" x14ac:dyDescent="0.3">
      <c r="A7" s="2" t="s">
        <v>3</v>
      </c>
    </row>
    <row r="8" spans="1:9" ht="12" x14ac:dyDescent="0.3">
      <c r="A8" s="2" t="s">
        <v>3</v>
      </c>
    </row>
    <row r="9" spans="1:9" ht="12" x14ac:dyDescent="0.3">
      <c r="A9" s="2" t="s">
        <v>3</v>
      </c>
    </row>
    <row r="10" spans="1:9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</row>
    <row r="11" spans="1:9" ht="12" x14ac:dyDescent="0.3">
      <c r="A11" s="2" t="s">
        <v>3</v>
      </c>
      <c r="B11" s="4">
        <v>2019</v>
      </c>
      <c r="D11" s="2" t="s">
        <v>3</v>
      </c>
      <c r="E11" s="4">
        <v>2018</v>
      </c>
      <c r="G11" s="2" t="s">
        <v>3</v>
      </c>
      <c r="H11" s="4">
        <v>2017</v>
      </c>
    </row>
    <row r="12" spans="1:9" ht="12" x14ac:dyDescent="0.3">
      <c r="A12" s="3" t="s">
        <v>78</v>
      </c>
      <c r="B12" s="5">
        <v>42900</v>
      </c>
      <c r="C12" s="2" t="s">
        <v>3</v>
      </c>
      <c r="D12" s="2" t="s">
        <v>3</v>
      </c>
      <c r="E12" s="5">
        <v>40700</v>
      </c>
      <c r="F12" s="2" t="s">
        <v>3</v>
      </c>
      <c r="G12" s="2" t="s">
        <v>3</v>
      </c>
      <c r="H12" s="5">
        <v>38600</v>
      </c>
      <c r="I12" s="2" t="s">
        <v>3</v>
      </c>
    </row>
    <row r="13" spans="1:9" ht="12" x14ac:dyDescent="0.3">
      <c r="A13" s="3" t="s">
        <v>79</v>
      </c>
      <c r="B13" s="5">
        <v>11000</v>
      </c>
      <c r="C13" s="2" t="s">
        <v>3</v>
      </c>
      <c r="D13" s="2" t="s">
        <v>3</v>
      </c>
      <c r="E13" s="5">
        <v>10900</v>
      </c>
      <c r="F13" s="2" t="s">
        <v>3</v>
      </c>
      <c r="G13" s="2" t="s">
        <v>3</v>
      </c>
      <c r="H13" s="5">
        <v>10800</v>
      </c>
      <c r="I13" s="2" t="s">
        <v>3</v>
      </c>
    </row>
    <row r="14" spans="1:9" ht="12" x14ac:dyDescent="0.3">
      <c r="A14" s="1" t="s">
        <v>80</v>
      </c>
      <c r="B14" s="5">
        <v>53900</v>
      </c>
      <c r="C14" s="2" t="s">
        <v>3</v>
      </c>
      <c r="D14" s="2" t="s">
        <v>3</v>
      </c>
      <c r="E14" s="5">
        <v>51600</v>
      </c>
      <c r="F14" s="2" t="s">
        <v>3</v>
      </c>
      <c r="G14" s="2" t="s">
        <v>3</v>
      </c>
      <c r="H14" s="5">
        <v>49400</v>
      </c>
      <c r="I14" s="2" t="s">
        <v>3</v>
      </c>
    </row>
    <row r="15" spans="1:9" ht="12" x14ac:dyDescent="0.3">
      <c r="A15" s="3" t="s">
        <v>81</v>
      </c>
      <c r="B15" s="5">
        <v>44600</v>
      </c>
      <c r="C15" s="2" t="s">
        <v>3</v>
      </c>
      <c r="D15" s="2" t="s">
        <v>3</v>
      </c>
      <c r="E15" s="5">
        <v>42700</v>
      </c>
      <c r="F15" s="2" t="s">
        <v>3</v>
      </c>
      <c r="G15" s="2" t="s">
        <v>3</v>
      </c>
      <c r="H15" s="5">
        <v>40900</v>
      </c>
      <c r="I15" s="2" t="s">
        <v>3</v>
      </c>
    </row>
    <row r="16" spans="1:9" ht="12" x14ac:dyDescent="0.3">
      <c r="A16" s="3" t="s">
        <v>82</v>
      </c>
      <c r="B16" s="5">
        <v>98500</v>
      </c>
      <c r="C16" s="2" t="s">
        <v>3</v>
      </c>
      <c r="D16" s="2" t="s">
        <v>3</v>
      </c>
      <c r="E16" s="5">
        <v>94300</v>
      </c>
      <c r="F16" s="2" t="s">
        <v>3</v>
      </c>
      <c r="G16" s="2" t="s">
        <v>3</v>
      </c>
      <c r="H16" s="5">
        <v>90300</v>
      </c>
      <c r="I16" s="2" t="s">
        <v>3</v>
      </c>
    </row>
    <row r="17" spans="1:1" ht="12" x14ac:dyDescent="0.3">
      <c r="A17" s="2" t="s">
        <v>3</v>
      </c>
    </row>
    <row r="18" spans="1:1" ht="12" x14ac:dyDescent="0.3">
      <c r="A18" s="2" t="s">
        <v>3</v>
      </c>
    </row>
    <row r="19" spans="1:1" ht="12" x14ac:dyDescent="0.3">
      <c r="A19" s="1" t="s">
        <v>8</v>
      </c>
    </row>
    <row r="20" spans="1:1" ht="12" x14ac:dyDescent="0.3">
      <c r="A20" s="1" t="s">
        <v>9</v>
      </c>
    </row>
    <row r="21" spans="1:1" ht="12" x14ac:dyDescent="0.3">
      <c r="A21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L22"/>
  <sheetViews>
    <sheetView workbookViewId="0">
      <selection activeCell="H23" sqref="H23"/>
    </sheetView>
  </sheetViews>
  <sheetFormatPr defaultColWidth="10.3984375" defaultRowHeight="11.5" x14ac:dyDescent="0.25"/>
  <cols>
    <col min="1" max="1" width="39" customWidth="1"/>
    <col min="2" max="12" width="9.09765625" customWidth="1"/>
  </cols>
  <sheetData>
    <row r="1" spans="1:12" ht="12" x14ac:dyDescent="0.3">
      <c r="A1" s="1" t="s">
        <v>0</v>
      </c>
    </row>
    <row r="2" spans="1:12" ht="12" x14ac:dyDescent="0.3">
      <c r="A2" s="1" t="s">
        <v>1</v>
      </c>
    </row>
    <row r="3" spans="1:12" ht="12" x14ac:dyDescent="0.3">
      <c r="A3" s="1" t="s">
        <v>2</v>
      </c>
    </row>
    <row r="4" spans="1:12" ht="12" x14ac:dyDescent="0.3">
      <c r="A4" s="2" t="s">
        <v>3</v>
      </c>
    </row>
    <row r="5" spans="1:12" ht="12" x14ac:dyDescent="0.3">
      <c r="A5" s="1" t="s">
        <v>442</v>
      </c>
    </row>
    <row r="6" spans="1:12" ht="12" x14ac:dyDescent="0.3">
      <c r="A6" s="2" t="s">
        <v>3</v>
      </c>
    </row>
    <row r="7" spans="1:12" ht="12" x14ac:dyDescent="0.3">
      <c r="A7" s="2" t="s">
        <v>3</v>
      </c>
    </row>
    <row r="8" spans="1:12" ht="12" x14ac:dyDescent="0.3">
      <c r="A8" s="2" t="s">
        <v>3</v>
      </c>
    </row>
    <row r="9" spans="1:12" ht="12" x14ac:dyDescent="0.3">
      <c r="A9" s="2" t="s">
        <v>3</v>
      </c>
    </row>
    <row r="10" spans="1:12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</row>
    <row r="11" spans="1:12" ht="12" x14ac:dyDescent="0.3">
      <c r="A11" s="3" t="s">
        <v>454</v>
      </c>
      <c r="B11" s="3" t="s">
        <v>444</v>
      </c>
      <c r="E11" s="2" t="s">
        <v>3</v>
      </c>
      <c r="F11" s="3" t="s">
        <v>445</v>
      </c>
      <c r="I11" s="2" t="s">
        <v>3</v>
      </c>
      <c r="J11" s="3" t="s">
        <v>446</v>
      </c>
    </row>
    <row r="12" spans="1:12" ht="12" x14ac:dyDescent="0.3">
      <c r="A12" s="2" t="s">
        <v>3</v>
      </c>
      <c r="B12" s="3" t="s">
        <v>447</v>
      </c>
      <c r="E12" s="2" t="s">
        <v>3</v>
      </c>
      <c r="F12" s="3" t="s">
        <v>455</v>
      </c>
      <c r="I12" s="2" t="s">
        <v>3</v>
      </c>
      <c r="J12" s="3" t="s">
        <v>447</v>
      </c>
    </row>
    <row r="13" spans="1:12" ht="12" x14ac:dyDescent="0.3">
      <c r="A13" s="3" t="s">
        <v>449</v>
      </c>
      <c r="B13" s="2" t="s">
        <v>3</v>
      </c>
      <c r="E13" s="2" t="s">
        <v>3</v>
      </c>
      <c r="F13" s="2" t="s">
        <v>3</v>
      </c>
      <c r="I13" s="2" t="s">
        <v>3</v>
      </c>
      <c r="J13" s="2" t="s">
        <v>3</v>
      </c>
    </row>
    <row r="14" spans="1:12" ht="12" x14ac:dyDescent="0.3">
      <c r="A14" s="3" t="s">
        <v>450</v>
      </c>
      <c r="B14" s="7">
        <v>912</v>
      </c>
      <c r="D14" s="2" t="s">
        <v>3</v>
      </c>
      <c r="E14" s="2" t="s">
        <v>3</v>
      </c>
      <c r="F14" s="7">
        <v>-14</v>
      </c>
      <c r="H14" s="3" t="s">
        <v>3</v>
      </c>
      <c r="I14" s="2" t="s">
        <v>3</v>
      </c>
      <c r="J14" s="7">
        <v>898</v>
      </c>
      <c r="L14" s="2" t="s">
        <v>3</v>
      </c>
    </row>
    <row r="15" spans="1:12" ht="12" x14ac:dyDescent="0.3">
      <c r="A15" s="3" t="s">
        <v>451</v>
      </c>
      <c r="B15" s="2" t="s">
        <v>3</v>
      </c>
      <c r="E15" s="2" t="s">
        <v>3</v>
      </c>
      <c r="F15" s="2" t="s">
        <v>3</v>
      </c>
      <c r="I15" s="2" t="s">
        <v>3</v>
      </c>
      <c r="J15" s="2" t="s">
        <v>3</v>
      </c>
    </row>
    <row r="16" spans="1:12" ht="12" x14ac:dyDescent="0.3">
      <c r="A16" s="3" t="s">
        <v>452</v>
      </c>
      <c r="B16" s="5">
        <v>306</v>
      </c>
      <c r="D16" s="2" t="s">
        <v>3</v>
      </c>
      <c r="E16" s="2" t="s">
        <v>3</v>
      </c>
      <c r="F16" s="2" t="s">
        <v>3</v>
      </c>
      <c r="I16" s="2" t="s">
        <v>3</v>
      </c>
      <c r="J16" s="5">
        <v>306</v>
      </c>
      <c r="L16" s="2" t="s">
        <v>3</v>
      </c>
    </row>
    <row r="17" spans="1:12" ht="12" x14ac:dyDescent="0.3">
      <c r="A17" s="1" t="s">
        <v>453</v>
      </c>
      <c r="B17" s="7">
        <v>1218</v>
      </c>
      <c r="D17" s="2" t="s">
        <v>3</v>
      </c>
      <c r="E17" s="2" t="s">
        <v>3</v>
      </c>
      <c r="F17" s="7">
        <v>-14</v>
      </c>
      <c r="H17" s="3" t="s">
        <v>3</v>
      </c>
      <c r="I17" s="2" t="s">
        <v>3</v>
      </c>
      <c r="J17" s="7">
        <v>1204</v>
      </c>
      <c r="L17" s="2" t="s">
        <v>3</v>
      </c>
    </row>
    <row r="18" spans="1:12" ht="12" x14ac:dyDescent="0.3">
      <c r="A18" s="2" t="s">
        <v>3</v>
      </c>
    </row>
    <row r="19" spans="1:12" ht="12" x14ac:dyDescent="0.3">
      <c r="A19" s="2" t="s">
        <v>3</v>
      </c>
    </row>
    <row r="20" spans="1:12" ht="12" x14ac:dyDescent="0.3">
      <c r="A20" s="1" t="s">
        <v>8</v>
      </c>
    </row>
    <row r="21" spans="1:12" ht="12" x14ac:dyDescent="0.3">
      <c r="A21" s="1" t="s">
        <v>9</v>
      </c>
    </row>
    <row r="22" spans="1:12" ht="12" x14ac:dyDescent="0.3">
      <c r="A22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L21"/>
  <sheetViews>
    <sheetView workbookViewId="0">
      <selection activeCell="H23" sqref="H23"/>
    </sheetView>
  </sheetViews>
  <sheetFormatPr defaultColWidth="10.3984375" defaultRowHeight="11.5" x14ac:dyDescent="0.25"/>
  <cols>
    <col min="1" max="1" width="45" customWidth="1"/>
    <col min="2" max="12" width="9.09765625" customWidth="1"/>
  </cols>
  <sheetData>
    <row r="1" spans="1:12" ht="12" x14ac:dyDescent="0.3">
      <c r="A1" s="1" t="s">
        <v>0</v>
      </c>
    </row>
    <row r="2" spans="1:12" ht="12" x14ac:dyDescent="0.3">
      <c r="A2" s="1" t="s">
        <v>1</v>
      </c>
    </row>
    <row r="3" spans="1:12" ht="12" x14ac:dyDescent="0.3">
      <c r="A3" s="1" t="s">
        <v>2</v>
      </c>
    </row>
    <row r="4" spans="1:12" ht="12" x14ac:dyDescent="0.3">
      <c r="A4" s="2" t="s">
        <v>3</v>
      </c>
    </row>
    <row r="5" spans="1:12" ht="12" x14ac:dyDescent="0.3">
      <c r="A5" s="1" t="s">
        <v>442</v>
      </c>
    </row>
    <row r="6" spans="1:12" ht="12" x14ac:dyDescent="0.3">
      <c r="A6" s="2" t="s">
        <v>3</v>
      </c>
    </row>
    <row r="7" spans="1:12" ht="12" x14ac:dyDescent="0.3">
      <c r="A7" s="2" t="s">
        <v>3</v>
      </c>
    </row>
    <row r="8" spans="1:12" ht="12" x14ac:dyDescent="0.3">
      <c r="A8" s="2" t="s">
        <v>3</v>
      </c>
    </row>
    <row r="9" spans="1:12" ht="12" x14ac:dyDescent="0.3">
      <c r="A9" s="2" t="s">
        <v>3</v>
      </c>
    </row>
    <row r="10" spans="1:12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</row>
    <row r="11" spans="1:12" ht="12" x14ac:dyDescent="0.3">
      <c r="A11" s="2" t="s">
        <v>3</v>
      </c>
      <c r="B11" s="3" t="s">
        <v>456</v>
      </c>
      <c r="I11" s="2" t="s">
        <v>3</v>
      </c>
      <c r="J11" s="3" t="s">
        <v>457</v>
      </c>
    </row>
    <row r="12" spans="1:12" ht="12" x14ac:dyDescent="0.3">
      <c r="A12" s="2" t="s">
        <v>3</v>
      </c>
      <c r="B12" s="3" t="s">
        <v>458</v>
      </c>
      <c r="E12" s="2" t="s">
        <v>3</v>
      </c>
      <c r="F12" s="3" t="s">
        <v>459</v>
      </c>
      <c r="I12" s="2" t="s">
        <v>3</v>
      </c>
    </row>
    <row r="13" spans="1:12" ht="12" x14ac:dyDescent="0.3">
      <c r="A13" s="3" t="s">
        <v>460</v>
      </c>
      <c r="B13" s="7">
        <v>297</v>
      </c>
      <c r="D13" s="2" t="s">
        <v>3</v>
      </c>
      <c r="E13" s="2" t="s">
        <v>3</v>
      </c>
      <c r="F13" s="7">
        <v>297</v>
      </c>
      <c r="H13" s="2" t="s">
        <v>3</v>
      </c>
      <c r="I13" s="2" t="s">
        <v>3</v>
      </c>
      <c r="J13" s="7">
        <v>338</v>
      </c>
      <c r="L13" s="2" t="s">
        <v>3</v>
      </c>
    </row>
    <row r="14" spans="1:12" ht="12" x14ac:dyDescent="0.3">
      <c r="A14" s="3" t="s">
        <v>461</v>
      </c>
      <c r="B14" s="5">
        <v>402</v>
      </c>
      <c r="D14" s="2" t="s">
        <v>3</v>
      </c>
      <c r="E14" s="2" t="s">
        <v>3</v>
      </c>
      <c r="F14" s="5">
        <v>407</v>
      </c>
      <c r="H14" s="2" t="s">
        <v>3</v>
      </c>
      <c r="I14" s="2" t="s">
        <v>3</v>
      </c>
      <c r="J14" s="5">
        <v>0</v>
      </c>
      <c r="L14" s="2" t="s">
        <v>3</v>
      </c>
    </row>
    <row r="15" spans="1:12" ht="12" x14ac:dyDescent="0.3">
      <c r="A15" s="3" t="s">
        <v>462</v>
      </c>
      <c r="B15" s="5">
        <v>17</v>
      </c>
      <c r="D15" s="2" t="s">
        <v>3</v>
      </c>
      <c r="E15" s="2" t="s">
        <v>3</v>
      </c>
      <c r="F15" s="5">
        <v>18</v>
      </c>
      <c r="H15" s="2" t="s">
        <v>3</v>
      </c>
      <c r="I15" s="2" t="s">
        <v>3</v>
      </c>
      <c r="J15" s="5">
        <v>0</v>
      </c>
      <c r="L15" s="2" t="s">
        <v>3</v>
      </c>
    </row>
    <row r="16" spans="1:12" ht="12" x14ac:dyDescent="0.3">
      <c r="A16" s="3" t="s">
        <v>463</v>
      </c>
      <c r="B16" s="7">
        <v>716</v>
      </c>
      <c r="D16" s="2" t="s">
        <v>3</v>
      </c>
      <c r="E16" s="2" t="s">
        <v>3</v>
      </c>
      <c r="F16" s="7">
        <v>722</v>
      </c>
      <c r="H16" s="2" t="s">
        <v>3</v>
      </c>
      <c r="I16" s="2" t="s">
        <v>3</v>
      </c>
      <c r="J16" s="7">
        <v>338</v>
      </c>
      <c r="L16" s="2" t="s">
        <v>3</v>
      </c>
    </row>
    <row r="17" spans="1:1" ht="12" x14ac:dyDescent="0.3">
      <c r="A17" s="2" t="s">
        <v>3</v>
      </c>
    </row>
    <row r="18" spans="1:1" ht="12" x14ac:dyDescent="0.3">
      <c r="A18" s="2" t="s">
        <v>3</v>
      </c>
    </row>
    <row r="19" spans="1:1" ht="12" x14ac:dyDescent="0.3">
      <c r="A19" s="1" t="s">
        <v>8</v>
      </c>
    </row>
    <row r="20" spans="1:1" ht="12" x14ac:dyDescent="0.3">
      <c r="A20" s="1" t="s">
        <v>9</v>
      </c>
    </row>
    <row r="21" spans="1:1" ht="12" x14ac:dyDescent="0.3">
      <c r="A21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H22"/>
  <sheetViews>
    <sheetView workbookViewId="0">
      <selection activeCell="H23" sqref="H23"/>
    </sheetView>
  </sheetViews>
  <sheetFormatPr defaultColWidth="10.3984375" defaultRowHeight="11.5" x14ac:dyDescent="0.25"/>
  <cols>
    <col min="1" max="1" width="60.5" customWidth="1"/>
    <col min="2" max="8" width="9.09765625" customWidth="1"/>
  </cols>
  <sheetData>
    <row r="1" spans="1:8" ht="12" x14ac:dyDescent="0.3">
      <c r="A1" s="1" t="s">
        <v>0</v>
      </c>
    </row>
    <row r="2" spans="1:8" ht="12" x14ac:dyDescent="0.3">
      <c r="A2" s="1" t="s">
        <v>1</v>
      </c>
    </row>
    <row r="3" spans="1:8" ht="12" x14ac:dyDescent="0.3">
      <c r="A3" s="1" t="s">
        <v>2</v>
      </c>
    </row>
    <row r="4" spans="1:8" ht="12" x14ac:dyDescent="0.3">
      <c r="A4" s="2" t="s">
        <v>3</v>
      </c>
    </row>
    <row r="5" spans="1:8" ht="12" x14ac:dyDescent="0.3">
      <c r="A5" s="1" t="s">
        <v>464</v>
      </c>
    </row>
    <row r="6" spans="1:8" ht="12" x14ac:dyDescent="0.3">
      <c r="A6" s="2" t="s">
        <v>3</v>
      </c>
    </row>
    <row r="7" spans="1:8" ht="12" x14ac:dyDescent="0.3">
      <c r="A7" s="2" t="s">
        <v>3</v>
      </c>
    </row>
    <row r="8" spans="1:8" ht="12" x14ac:dyDescent="0.3">
      <c r="A8" s="2" t="s">
        <v>3</v>
      </c>
    </row>
    <row r="9" spans="1:8" ht="12" x14ac:dyDescent="0.3">
      <c r="A9" s="2" t="s">
        <v>3</v>
      </c>
    </row>
    <row r="10" spans="1:8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</row>
    <row r="11" spans="1:8" ht="12" x14ac:dyDescent="0.3">
      <c r="A11" s="3" t="s">
        <v>443</v>
      </c>
      <c r="B11" s="3" t="s">
        <v>465</v>
      </c>
      <c r="E11" s="2" t="s">
        <v>3</v>
      </c>
      <c r="F11" s="3" t="s">
        <v>466</v>
      </c>
    </row>
    <row r="12" spans="1:8" ht="12" x14ac:dyDescent="0.3">
      <c r="A12" s="3" t="s">
        <v>467</v>
      </c>
      <c r="B12" s="7">
        <v>0</v>
      </c>
      <c r="D12" s="2" t="s">
        <v>3</v>
      </c>
      <c r="E12" s="2" t="s">
        <v>3</v>
      </c>
      <c r="F12" s="7">
        <v>766</v>
      </c>
      <c r="H12" s="2" t="s">
        <v>3</v>
      </c>
    </row>
    <row r="13" spans="1:8" ht="12" x14ac:dyDescent="0.3">
      <c r="A13" s="3" t="s">
        <v>468</v>
      </c>
      <c r="B13" s="5">
        <v>0</v>
      </c>
      <c r="D13" s="2" t="s">
        <v>3</v>
      </c>
      <c r="E13" s="2" t="s">
        <v>3</v>
      </c>
      <c r="F13" s="5">
        <v>15</v>
      </c>
      <c r="H13" s="2" t="s">
        <v>3</v>
      </c>
    </row>
    <row r="14" spans="1:8" ht="12" x14ac:dyDescent="0.3">
      <c r="A14" s="3" t="s">
        <v>469</v>
      </c>
    </row>
    <row r="15" spans="1:8" ht="12" x14ac:dyDescent="0.3">
      <c r="A15" s="3" t="s">
        <v>468</v>
      </c>
      <c r="B15" s="5">
        <v>0</v>
      </c>
      <c r="D15" s="2" t="s">
        <v>3</v>
      </c>
      <c r="E15" s="2" t="s">
        <v>3</v>
      </c>
      <c r="F15" s="5">
        <v>-4</v>
      </c>
      <c r="H15" s="3" t="s">
        <v>3</v>
      </c>
    </row>
    <row r="16" spans="1:8" ht="12" x14ac:dyDescent="0.3">
      <c r="A16" s="3" t="s">
        <v>470</v>
      </c>
    </row>
    <row r="17" spans="1:8" ht="12" x14ac:dyDescent="0.3">
      <c r="A17" s="1" t="s">
        <v>146</v>
      </c>
      <c r="B17" s="7">
        <v>0</v>
      </c>
      <c r="D17" s="2" t="s">
        <v>3</v>
      </c>
      <c r="E17" s="2" t="s">
        <v>3</v>
      </c>
      <c r="F17" s="7">
        <v>777</v>
      </c>
      <c r="H17" s="2" t="s">
        <v>3</v>
      </c>
    </row>
    <row r="18" spans="1:8" ht="12" x14ac:dyDescent="0.3">
      <c r="A18" s="2" t="s">
        <v>3</v>
      </c>
    </row>
    <row r="19" spans="1:8" ht="12" x14ac:dyDescent="0.3">
      <c r="A19" s="2" t="s">
        <v>3</v>
      </c>
    </row>
    <row r="20" spans="1:8" ht="12" x14ac:dyDescent="0.3">
      <c r="A20" s="1" t="s">
        <v>8</v>
      </c>
    </row>
    <row r="21" spans="1:8" ht="12" x14ac:dyDescent="0.3">
      <c r="A21" s="1" t="s">
        <v>9</v>
      </c>
    </row>
    <row r="22" spans="1:8" ht="12" x14ac:dyDescent="0.3">
      <c r="A22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H23"/>
  <sheetViews>
    <sheetView workbookViewId="0">
      <selection activeCell="A23" sqref="A23:H23"/>
    </sheetView>
  </sheetViews>
  <sheetFormatPr defaultColWidth="10.3984375" defaultRowHeight="11.5" x14ac:dyDescent="0.25"/>
  <cols>
    <col min="1" max="1" width="60.5" customWidth="1"/>
    <col min="2" max="8" width="9.09765625" customWidth="1"/>
  </cols>
  <sheetData>
    <row r="1" spans="1:8" ht="12" x14ac:dyDescent="0.3">
      <c r="A1" s="1" t="s">
        <v>0</v>
      </c>
    </row>
    <row r="2" spans="1:8" ht="12" x14ac:dyDescent="0.3">
      <c r="A2" s="1" t="s">
        <v>1</v>
      </c>
    </row>
    <row r="3" spans="1:8" ht="12" x14ac:dyDescent="0.3">
      <c r="A3" s="1" t="s">
        <v>2</v>
      </c>
    </row>
    <row r="4" spans="1:8" ht="12" x14ac:dyDescent="0.3">
      <c r="A4" s="2" t="s">
        <v>3</v>
      </c>
    </row>
    <row r="5" spans="1:8" ht="12" x14ac:dyDescent="0.3">
      <c r="A5" s="1" t="s">
        <v>464</v>
      </c>
    </row>
    <row r="6" spans="1:8" ht="12" x14ac:dyDescent="0.3">
      <c r="A6" s="2" t="s">
        <v>3</v>
      </c>
    </row>
    <row r="7" spans="1:8" ht="12" x14ac:dyDescent="0.3">
      <c r="A7" s="2" t="s">
        <v>3</v>
      </c>
    </row>
    <row r="8" spans="1:8" ht="12" x14ac:dyDescent="0.3">
      <c r="A8" s="2" t="s">
        <v>3</v>
      </c>
    </row>
    <row r="9" spans="1:8" ht="12" x14ac:dyDescent="0.3">
      <c r="A9" s="2" t="s">
        <v>3</v>
      </c>
    </row>
    <row r="10" spans="1:8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</row>
    <row r="11" spans="1:8" ht="12" x14ac:dyDescent="0.3">
      <c r="A11" s="3" t="s">
        <v>454</v>
      </c>
      <c r="B11" s="3" t="s">
        <v>465</v>
      </c>
      <c r="E11" s="2" t="s">
        <v>3</v>
      </c>
      <c r="F11" s="3" t="s">
        <v>466</v>
      </c>
    </row>
    <row r="12" spans="1:8" ht="12" x14ac:dyDescent="0.3">
      <c r="A12" s="3" t="s">
        <v>471</v>
      </c>
      <c r="B12" s="7">
        <v>9</v>
      </c>
      <c r="D12" s="2" t="s">
        <v>3</v>
      </c>
      <c r="E12" s="2" t="s">
        <v>3</v>
      </c>
      <c r="F12" s="7">
        <v>0</v>
      </c>
      <c r="H12" s="2" t="s">
        <v>3</v>
      </c>
    </row>
    <row r="13" spans="1:8" ht="12" x14ac:dyDescent="0.3">
      <c r="A13" s="3" t="s">
        <v>467</v>
      </c>
      <c r="B13" s="5">
        <v>0</v>
      </c>
      <c r="D13" s="2" t="s">
        <v>3</v>
      </c>
      <c r="E13" s="2" t="s">
        <v>3</v>
      </c>
      <c r="F13" s="5">
        <v>903</v>
      </c>
      <c r="H13" s="2" t="s">
        <v>3</v>
      </c>
    </row>
    <row r="14" spans="1:8" ht="12" x14ac:dyDescent="0.3">
      <c r="A14" s="3" t="s">
        <v>468</v>
      </c>
      <c r="B14" s="5">
        <v>0</v>
      </c>
      <c r="D14" s="2" t="s">
        <v>3</v>
      </c>
      <c r="E14" s="2" t="s">
        <v>3</v>
      </c>
      <c r="F14" s="5">
        <v>16</v>
      </c>
      <c r="H14" s="2" t="s">
        <v>3</v>
      </c>
    </row>
    <row r="15" spans="1:8" ht="12" x14ac:dyDescent="0.3">
      <c r="A15" s="3" t="s">
        <v>469</v>
      </c>
    </row>
    <row r="16" spans="1:8" ht="12" x14ac:dyDescent="0.3">
      <c r="A16" s="3" t="s">
        <v>468</v>
      </c>
      <c r="B16" s="5">
        <v>0</v>
      </c>
      <c r="D16" s="2" t="s">
        <v>3</v>
      </c>
      <c r="E16" s="2" t="s">
        <v>3</v>
      </c>
      <c r="F16" s="5">
        <v>-2</v>
      </c>
      <c r="H16" s="3" t="s">
        <v>3</v>
      </c>
    </row>
    <row r="17" spans="1:8" ht="12" x14ac:dyDescent="0.3">
      <c r="A17" s="3" t="s">
        <v>470</v>
      </c>
    </row>
    <row r="18" spans="1:8" ht="12" x14ac:dyDescent="0.3">
      <c r="A18" s="1" t="s">
        <v>146</v>
      </c>
      <c r="B18" s="7">
        <v>9</v>
      </c>
      <c r="D18" s="2" t="s">
        <v>3</v>
      </c>
      <c r="E18" s="2" t="s">
        <v>3</v>
      </c>
      <c r="F18" s="7">
        <v>917</v>
      </c>
      <c r="H18" s="2" t="s">
        <v>3</v>
      </c>
    </row>
    <row r="19" spans="1:8" ht="12" x14ac:dyDescent="0.3">
      <c r="A19" s="2" t="s">
        <v>3</v>
      </c>
    </row>
    <row r="20" spans="1:8" ht="12" x14ac:dyDescent="0.3">
      <c r="A20" s="2" t="s">
        <v>3</v>
      </c>
    </row>
    <row r="21" spans="1:8" ht="12" x14ac:dyDescent="0.3">
      <c r="A21" s="1" t="s">
        <v>8</v>
      </c>
    </row>
    <row r="22" spans="1:8" ht="12" x14ac:dyDescent="0.3">
      <c r="A22" s="1" t="s">
        <v>9</v>
      </c>
    </row>
    <row r="23" spans="1:8" ht="12" x14ac:dyDescent="0.3">
      <c r="A23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H29"/>
  <sheetViews>
    <sheetView workbookViewId="0">
      <selection activeCell="H23" sqref="H23"/>
    </sheetView>
  </sheetViews>
  <sheetFormatPr defaultColWidth="10.3984375" defaultRowHeight="11.5" x14ac:dyDescent="0.25"/>
  <cols>
    <col min="1" max="1" width="53.296875" customWidth="1"/>
    <col min="2" max="8" width="9.09765625" customWidth="1"/>
  </cols>
  <sheetData>
    <row r="1" spans="1:8" ht="12" x14ac:dyDescent="0.3">
      <c r="A1" s="1" t="s">
        <v>0</v>
      </c>
    </row>
    <row r="2" spans="1:8" ht="12" x14ac:dyDescent="0.3">
      <c r="A2" s="1" t="s">
        <v>1</v>
      </c>
    </row>
    <row r="3" spans="1:8" ht="12" x14ac:dyDescent="0.3">
      <c r="A3" s="1" t="s">
        <v>2</v>
      </c>
    </row>
    <row r="4" spans="1:8" ht="12" x14ac:dyDescent="0.3">
      <c r="A4" s="2" t="s">
        <v>3</v>
      </c>
    </row>
    <row r="5" spans="1:8" ht="12" x14ac:dyDescent="0.3">
      <c r="A5" s="1" t="s">
        <v>472</v>
      </c>
    </row>
    <row r="6" spans="1:8" ht="12" x14ac:dyDescent="0.3">
      <c r="A6" s="2" t="s">
        <v>3</v>
      </c>
    </row>
    <row r="7" spans="1:8" ht="12" x14ac:dyDescent="0.3">
      <c r="A7" s="2" t="s">
        <v>3</v>
      </c>
    </row>
    <row r="8" spans="1:8" ht="12" x14ac:dyDescent="0.3">
      <c r="A8" s="2" t="s">
        <v>3</v>
      </c>
    </row>
    <row r="9" spans="1:8" ht="12" x14ac:dyDescent="0.3">
      <c r="A9" s="2" t="s">
        <v>3</v>
      </c>
    </row>
    <row r="10" spans="1:8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</row>
    <row r="11" spans="1:8" ht="12" x14ac:dyDescent="0.3">
      <c r="A11" s="2" t="s">
        <v>3</v>
      </c>
      <c r="B11" s="4">
        <v>2019</v>
      </c>
      <c r="E11" s="2" t="s">
        <v>3</v>
      </c>
      <c r="F11" s="4">
        <v>2018</v>
      </c>
    </row>
    <row r="12" spans="1:8" ht="12" x14ac:dyDescent="0.3">
      <c r="A12" s="3" t="s">
        <v>473</v>
      </c>
      <c r="B12" s="7">
        <v>1200</v>
      </c>
      <c r="D12" s="2" t="s">
        <v>3</v>
      </c>
      <c r="E12" s="2" t="s">
        <v>3</v>
      </c>
      <c r="F12" s="7">
        <v>1200</v>
      </c>
      <c r="H12" s="2" t="s">
        <v>3</v>
      </c>
    </row>
    <row r="13" spans="1:8" ht="12" x14ac:dyDescent="0.3">
      <c r="A13" s="3" t="s">
        <v>474</v>
      </c>
      <c r="B13" s="5">
        <v>500</v>
      </c>
      <c r="D13" s="2" t="s">
        <v>3</v>
      </c>
      <c r="E13" s="2" t="s">
        <v>3</v>
      </c>
      <c r="F13" s="5">
        <v>500</v>
      </c>
      <c r="H13" s="2" t="s">
        <v>3</v>
      </c>
    </row>
    <row r="14" spans="1:8" ht="12" x14ac:dyDescent="0.3">
      <c r="A14" s="3" t="s">
        <v>475</v>
      </c>
      <c r="B14" s="5">
        <v>1000</v>
      </c>
      <c r="D14" s="2" t="s">
        <v>3</v>
      </c>
      <c r="E14" s="2" t="s">
        <v>3</v>
      </c>
      <c r="F14" s="5">
        <v>1000</v>
      </c>
      <c r="H14" s="2" t="s">
        <v>3</v>
      </c>
    </row>
    <row r="15" spans="1:8" ht="12" x14ac:dyDescent="0.3">
      <c r="A15" s="3" t="s">
        <v>476</v>
      </c>
      <c r="B15" s="5">
        <v>500</v>
      </c>
      <c r="D15" s="2" t="s">
        <v>3</v>
      </c>
      <c r="E15" s="2" t="s">
        <v>3</v>
      </c>
      <c r="F15" s="5">
        <v>500</v>
      </c>
      <c r="H15" s="2" t="s">
        <v>3</v>
      </c>
    </row>
    <row r="16" spans="1:8" ht="12" x14ac:dyDescent="0.3">
      <c r="A16" s="3" t="s">
        <v>477</v>
      </c>
      <c r="B16" s="5">
        <v>800</v>
      </c>
      <c r="D16" s="2" t="s">
        <v>3</v>
      </c>
      <c r="E16" s="2" t="s">
        <v>3</v>
      </c>
      <c r="F16" s="5">
        <v>800</v>
      </c>
      <c r="H16" s="2" t="s">
        <v>3</v>
      </c>
    </row>
    <row r="17" spans="1:8" ht="12" x14ac:dyDescent="0.3">
      <c r="A17" s="3" t="s">
        <v>478</v>
      </c>
      <c r="B17" s="5">
        <v>1000</v>
      </c>
      <c r="D17" s="2" t="s">
        <v>3</v>
      </c>
      <c r="E17" s="2" t="s">
        <v>3</v>
      </c>
      <c r="F17" s="5">
        <v>1000</v>
      </c>
      <c r="H17" s="2" t="s">
        <v>3</v>
      </c>
    </row>
    <row r="18" spans="1:8" ht="12" x14ac:dyDescent="0.3">
      <c r="A18" s="3" t="s">
        <v>479</v>
      </c>
      <c r="B18" s="5">
        <v>1000</v>
      </c>
      <c r="D18" s="2" t="s">
        <v>3</v>
      </c>
      <c r="E18" s="2" t="s">
        <v>3</v>
      </c>
      <c r="F18" s="5">
        <v>1000</v>
      </c>
      <c r="H18" s="2" t="s">
        <v>3</v>
      </c>
    </row>
    <row r="19" spans="1:8" ht="12" x14ac:dyDescent="0.3">
      <c r="A19" s="3" t="s">
        <v>480</v>
      </c>
      <c r="B19" s="5">
        <v>852</v>
      </c>
      <c r="D19" s="2" t="s">
        <v>3</v>
      </c>
      <c r="E19" s="2" t="s">
        <v>3</v>
      </c>
      <c r="F19" s="5">
        <v>613</v>
      </c>
      <c r="H19" s="2" t="s">
        <v>3</v>
      </c>
    </row>
    <row r="20" spans="1:8" ht="12" x14ac:dyDescent="0.3">
      <c r="A20" s="1" t="s">
        <v>481</v>
      </c>
      <c r="B20" s="5">
        <v>6852</v>
      </c>
      <c r="D20" s="2" t="s">
        <v>3</v>
      </c>
      <c r="E20" s="2" t="s">
        <v>3</v>
      </c>
      <c r="F20" s="5">
        <v>6613</v>
      </c>
      <c r="H20" s="2" t="s">
        <v>3</v>
      </c>
    </row>
    <row r="21" spans="1:8" ht="12" x14ac:dyDescent="0.3">
      <c r="A21" s="3" t="s">
        <v>482</v>
      </c>
      <c r="B21" s="5">
        <v>29</v>
      </c>
      <c r="D21" s="2" t="s">
        <v>3</v>
      </c>
      <c r="E21" s="2" t="s">
        <v>3</v>
      </c>
      <c r="F21" s="5">
        <v>36</v>
      </c>
      <c r="H21" s="2" t="s">
        <v>3</v>
      </c>
    </row>
    <row r="22" spans="1:8" ht="12" x14ac:dyDescent="0.3">
      <c r="A22" s="3" t="s">
        <v>483</v>
      </c>
    </row>
    <row r="23" spans="1:8" ht="12" x14ac:dyDescent="0.3">
      <c r="A23" s="3" t="s">
        <v>484</v>
      </c>
      <c r="B23" s="5">
        <v>1699</v>
      </c>
      <c r="D23" s="2" t="s">
        <v>3</v>
      </c>
      <c r="E23" s="2" t="s">
        <v>3</v>
      </c>
      <c r="F23" s="5">
        <v>90</v>
      </c>
      <c r="H23" s="2" t="s">
        <v>3</v>
      </c>
    </row>
    <row r="24" spans="1:8" ht="12" x14ac:dyDescent="0.3">
      <c r="A24" s="3" t="s">
        <v>305</v>
      </c>
      <c r="B24" s="7">
        <v>5124</v>
      </c>
      <c r="D24" s="2" t="s">
        <v>3</v>
      </c>
      <c r="E24" s="2" t="s">
        <v>3</v>
      </c>
      <c r="F24" s="7">
        <v>6487</v>
      </c>
      <c r="H24" s="2" t="s">
        <v>3</v>
      </c>
    </row>
    <row r="25" spans="1:8" ht="12" x14ac:dyDescent="0.3">
      <c r="A25" s="2" t="s">
        <v>3</v>
      </c>
    </row>
    <row r="26" spans="1:8" ht="12" x14ac:dyDescent="0.3">
      <c r="A26" s="2" t="s">
        <v>3</v>
      </c>
    </row>
    <row r="27" spans="1:8" ht="12" x14ac:dyDescent="0.3">
      <c r="A27" s="1" t="s">
        <v>8</v>
      </c>
    </row>
    <row r="28" spans="1:8" ht="12" x14ac:dyDescent="0.3">
      <c r="A28" s="1" t="s">
        <v>9</v>
      </c>
    </row>
    <row r="29" spans="1:8" ht="12" x14ac:dyDescent="0.3">
      <c r="A29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D22"/>
  <sheetViews>
    <sheetView workbookViewId="0">
      <selection activeCell="H23" sqref="H23"/>
    </sheetView>
  </sheetViews>
  <sheetFormatPr defaultColWidth="10.3984375" defaultRowHeight="11.5" x14ac:dyDescent="0.25"/>
  <cols>
    <col min="1" max="1" width="12.8984375" customWidth="1"/>
    <col min="2" max="4" width="9.09765625" customWidth="1"/>
  </cols>
  <sheetData>
    <row r="1" spans="1:4" ht="12" x14ac:dyDescent="0.3">
      <c r="A1" s="1" t="s">
        <v>0</v>
      </c>
    </row>
    <row r="2" spans="1:4" ht="12" x14ac:dyDescent="0.3">
      <c r="A2" s="1" t="s">
        <v>1</v>
      </c>
    </row>
    <row r="3" spans="1:4" ht="12" x14ac:dyDescent="0.3">
      <c r="A3" s="1" t="s">
        <v>2</v>
      </c>
    </row>
    <row r="4" spans="1:4" ht="12" x14ac:dyDescent="0.3">
      <c r="A4" s="2" t="s">
        <v>3</v>
      </c>
    </row>
    <row r="5" spans="1:4" ht="12" x14ac:dyDescent="0.3">
      <c r="A5" s="1" t="s">
        <v>472</v>
      </c>
    </row>
    <row r="6" spans="1:4" ht="12" x14ac:dyDescent="0.3">
      <c r="A6" s="2" t="s">
        <v>3</v>
      </c>
    </row>
    <row r="7" spans="1:4" ht="12" x14ac:dyDescent="0.3">
      <c r="A7" s="2" t="s">
        <v>3</v>
      </c>
    </row>
    <row r="8" spans="1:4" ht="12" x14ac:dyDescent="0.3">
      <c r="A8" s="2" t="s">
        <v>3</v>
      </c>
    </row>
    <row r="9" spans="1:4" ht="12" x14ac:dyDescent="0.3">
      <c r="A9" s="2" t="s">
        <v>3</v>
      </c>
    </row>
    <row r="10" spans="1:4" ht="12" x14ac:dyDescent="0.3">
      <c r="A10" s="2" t="s">
        <v>3</v>
      </c>
      <c r="B10" s="2" t="s">
        <v>3</v>
      </c>
      <c r="C10" s="2" t="s">
        <v>3</v>
      </c>
      <c r="D10" s="2" t="s">
        <v>3</v>
      </c>
    </row>
    <row r="11" spans="1:4" ht="12" x14ac:dyDescent="0.3">
      <c r="A11" s="4">
        <v>2020</v>
      </c>
      <c r="B11" s="7">
        <v>1700</v>
      </c>
      <c r="D11" s="2" t="s">
        <v>3</v>
      </c>
    </row>
    <row r="12" spans="1:4" ht="12" x14ac:dyDescent="0.3">
      <c r="A12" s="4">
        <v>2021</v>
      </c>
      <c r="B12" s="5">
        <v>1094</v>
      </c>
      <c r="D12" s="2" t="s">
        <v>3</v>
      </c>
    </row>
    <row r="13" spans="1:4" ht="12" x14ac:dyDescent="0.3">
      <c r="A13" s="4">
        <v>2022</v>
      </c>
      <c r="B13" s="5">
        <v>1300</v>
      </c>
      <c r="D13" s="2" t="s">
        <v>3</v>
      </c>
    </row>
    <row r="14" spans="1:4" ht="12" x14ac:dyDescent="0.3">
      <c r="A14" s="4">
        <v>2023</v>
      </c>
      <c r="B14" s="5">
        <v>94</v>
      </c>
      <c r="D14" s="2" t="s">
        <v>3</v>
      </c>
    </row>
    <row r="15" spans="1:4" ht="12" x14ac:dyDescent="0.3">
      <c r="A15" s="4">
        <v>2024</v>
      </c>
      <c r="B15" s="5">
        <v>1113</v>
      </c>
      <c r="D15" s="2" t="s">
        <v>3</v>
      </c>
    </row>
    <row r="16" spans="1:4" ht="12" x14ac:dyDescent="0.3">
      <c r="A16" s="3" t="s">
        <v>485</v>
      </c>
      <c r="B16" s="5">
        <v>1551</v>
      </c>
      <c r="D16" s="2" t="s">
        <v>3</v>
      </c>
    </row>
    <row r="17" spans="1:4" ht="12" x14ac:dyDescent="0.3">
      <c r="A17" s="1" t="s">
        <v>146</v>
      </c>
      <c r="B17" s="7">
        <v>6852</v>
      </c>
      <c r="D17" s="2" t="s">
        <v>3</v>
      </c>
    </row>
    <row r="18" spans="1:4" ht="12" x14ac:dyDescent="0.3">
      <c r="A18" s="2" t="s">
        <v>3</v>
      </c>
    </row>
    <row r="19" spans="1:4" ht="12" x14ac:dyDescent="0.3">
      <c r="A19" s="2" t="s">
        <v>3</v>
      </c>
    </row>
    <row r="20" spans="1:4" ht="12" x14ac:dyDescent="0.3">
      <c r="A20" s="1" t="s">
        <v>8</v>
      </c>
    </row>
    <row r="21" spans="1:4" ht="12" x14ac:dyDescent="0.3">
      <c r="A21" s="1" t="s">
        <v>9</v>
      </c>
    </row>
    <row r="22" spans="1:4" ht="12" x14ac:dyDescent="0.3">
      <c r="A22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H28"/>
  <sheetViews>
    <sheetView workbookViewId="0">
      <selection activeCell="H23" sqref="H23"/>
    </sheetView>
  </sheetViews>
  <sheetFormatPr defaultColWidth="10.3984375" defaultRowHeight="11.5" x14ac:dyDescent="0.25"/>
  <cols>
    <col min="1" max="1" width="52.09765625" customWidth="1"/>
    <col min="2" max="8" width="9.09765625" customWidth="1"/>
  </cols>
  <sheetData>
    <row r="1" spans="1:8" ht="12" x14ac:dyDescent="0.3">
      <c r="A1" s="1" t="s">
        <v>0</v>
      </c>
    </row>
    <row r="2" spans="1:8" ht="12" x14ac:dyDescent="0.3">
      <c r="A2" s="1" t="s">
        <v>1</v>
      </c>
    </row>
    <row r="3" spans="1:8" ht="12" x14ac:dyDescent="0.3">
      <c r="A3" s="1" t="s">
        <v>2</v>
      </c>
    </row>
    <row r="4" spans="1:8" ht="12" x14ac:dyDescent="0.3">
      <c r="A4" s="2" t="s">
        <v>3</v>
      </c>
    </row>
    <row r="5" spans="1:8" ht="12" x14ac:dyDescent="0.3">
      <c r="A5" s="1" t="s">
        <v>486</v>
      </c>
    </row>
    <row r="6" spans="1:8" ht="12" x14ac:dyDescent="0.3">
      <c r="A6" s="2" t="s">
        <v>3</v>
      </c>
    </row>
    <row r="7" spans="1:8" ht="12" x14ac:dyDescent="0.3">
      <c r="A7" s="2" t="s">
        <v>3</v>
      </c>
    </row>
    <row r="8" spans="1:8" ht="12" x14ac:dyDescent="0.3">
      <c r="A8" s="2" t="s">
        <v>3</v>
      </c>
    </row>
    <row r="9" spans="1:8" ht="12" x14ac:dyDescent="0.3">
      <c r="A9" s="2" t="s">
        <v>3</v>
      </c>
    </row>
    <row r="10" spans="1:8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</row>
    <row r="11" spans="1:8" ht="12" x14ac:dyDescent="0.3">
      <c r="A11" s="2" t="s">
        <v>3</v>
      </c>
      <c r="B11" s="3" t="s">
        <v>487</v>
      </c>
      <c r="E11" s="2" t="s">
        <v>3</v>
      </c>
      <c r="F11" s="3" t="s">
        <v>382</v>
      </c>
    </row>
    <row r="12" spans="1:8" ht="12" x14ac:dyDescent="0.3">
      <c r="A12" s="2" t="s">
        <v>3</v>
      </c>
      <c r="B12" s="3" t="s">
        <v>488</v>
      </c>
      <c r="E12" s="2" t="s">
        <v>3</v>
      </c>
      <c r="F12" s="3" t="s">
        <v>489</v>
      </c>
    </row>
    <row r="13" spans="1:8" ht="12" x14ac:dyDescent="0.3">
      <c r="A13" s="4">
        <v>2020</v>
      </c>
      <c r="B13" s="7">
        <v>239</v>
      </c>
      <c r="D13" s="2" t="s">
        <v>3</v>
      </c>
      <c r="E13" s="2" t="s">
        <v>3</v>
      </c>
      <c r="F13" s="7">
        <v>51</v>
      </c>
      <c r="H13" s="2" t="s">
        <v>3</v>
      </c>
    </row>
    <row r="14" spans="1:8" ht="12" x14ac:dyDescent="0.3">
      <c r="A14" s="4">
        <v>2021</v>
      </c>
      <c r="B14" s="5">
        <v>229</v>
      </c>
      <c r="D14" s="2" t="s">
        <v>3</v>
      </c>
      <c r="E14" s="2" t="s">
        <v>3</v>
      </c>
      <c r="F14" s="5">
        <v>53</v>
      </c>
      <c r="H14" s="2" t="s">
        <v>3</v>
      </c>
    </row>
    <row r="15" spans="1:8" ht="12" x14ac:dyDescent="0.3">
      <c r="A15" s="4">
        <v>2022</v>
      </c>
      <c r="B15" s="5">
        <v>202</v>
      </c>
      <c r="D15" s="2" t="s">
        <v>3</v>
      </c>
      <c r="E15" s="2" t="s">
        <v>3</v>
      </c>
      <c r="F15" s="5">
        <v>38</v>
      </c>
      <c r="H15" s="2" t="s">
        <v>3</v>
      </c>
    </row>
    <row r="16" spans="1:8" ht="12" x14ac:dyDescent="0.3">
      <c r="A16" s="4">
        <v>2023</v>
      </c>
      <c r="B16" s="5">
        <v>193</v>
      </c>
      <c r="D16" s="2" t="s">
        <v>3</v>
      </c>
      <c r="E16" s="2" t="s">
        <v>3</v>
      </c>
      <c r="F16" s="5">
        <v>39</v>
      </c>
      <c r="H16" s="2" t="s">
        <v>3</v>
      </c>
    </row>
    <row r="17" spans="1:8" ht="12" x14ac:dyDescent="0.3">
      <c r="A17" s="4">
        <v>2024</v>
      </c>
      <c r="B17" s="5">
        <v>181</v>
      </c>
      <c r="D17" s="2" t="s">
        <v>3</v>
      </c>
      <c r="E17" s="2" t="s">
        <v>3</v>
      </c>
      <c r="F17" s="5">
        <v>39</v>
      </c>
      <c r="H17" s="2" t="s">
        <v>3</v>
      </c>
    </row>
    <row r="18" spans="1:8" ht="12" x14ac:dyDescent="0.3">
      <c r="A18" s="3" t="s">
        <v>485</v>
      </c>
      <c r="B18" s="5">
        <v>2206</v>
      </c>
      <c r="D18" s="2" t="s">
        <v>3</v>
      </c>
      <c r="E18" s="2" t="s">
        <v>3</v>
      </c>
      <c r="F18" s="5">
        <v>544</v>
      </c>
      <c r="H18" s="2" t="s">
        <v>3</v>
      </c>
    </row>
    <row r="19" spans="1:8" ht="12" x14ac:dyDescent="0.3">
      <c r="A19" s="1" t="s">
        <v>146</v>
      </c>
      <c r="B19" s="7">
        <v>3250</v>
      </c>
      <c r="D19" s="2" t="s">
        <v>3</v>
      </c>
      <c r="E19" s="2" t="s">
        <v>3</v>
      </c>
      <c r="F19" s="5">
        <v>764</v>
      </c>
      <c r="H19" s="2" t="s">
        <v>3</v>
      </c>
    </row>
    <row r="20" spans="1:8" ht="12" x14ac:dyDescent="0.3">
      <c r="A20" s="3" t="s">
        <v>490</v>
      </c>
      <c r="B20" s="2" t="s">
        <v>3</v>
      </c>
      <c r="E20" s="2" t="s">
        <v>3</v>
      </c>
      <c r="F20" s="5">
        <v>-343</v>
      </c>
      <c r="H20" s="3" t="s">
        <v>3</v>
      </c>
    </row>
    <row r="21" spans="1:8" ht="12" x14ac:dyDescent="0.3">
      <c r="A21" s="3" t="s">
        <v>491</v>
      </c>
      <c r="B21" s="2" t="s">
        <v>3</v>
      </c>
      <c r="E21" s="2" t="s">
        <v>3</v>
      </c>
      <c r="F21" s="5">
        <v>421</v>
      </c>
      <c r="H21" s="2" t="s">
        <v>3</v>
      </c>
    </row>
    <row r="22" spans="1:8" ht="12" x14ac:dyDescent="0.3">
      <c r="A22" s="3" t="s">
        <v>492</v>
      </c>
      <c r="B22" s="2" t="s">
        <v>3</v>
      </c>
      <c r="E22" s="2" t="s">
        <v>3</v>
      </c>
      <c r="F22" s="5">
        <v>-26</v>
      </c>
      <c r="H22" s="3" t="s">
        <v>3</v>
      </c>
    </row>
    <row r="23" spans="1:8" ht="12" x14ac:dyDescent="0.3">
      <c r="A23" s="3" t="s">
        <v>493</v>
      </c>
      <c r="B23" s="2" t="s">
        <v>3</v>
      </c>
      <c r="E23" s="2" t="s">
        <v>3</v>
      </c>
      <c r="F23" s="7">
        <v>395</v>
      </c>
      <c r="H23" s="2" t="s">
        <v>3</v>
      </c>
    </row>
    <row r="24" spans="1:8" ht="12" x14ac:dyDescent="0.3">
      <c r="A24" s="3" t="s">
        <v>494</v>
      </c>
    </row>
    <row r="25" spans="1:8" ht="12" x14ac:dyDescent="0.3">
      <c r="A25" s="2" t="s">
        <v>3</v>
      </c>
    </row>
    <row r="26" spans="1:8" ht="12" x14ac:dyDescent="0.3">
      <c r="A26" s="1" t="s">
        <v>8</v>
      </c>
    </row>
    <row r="27" spans="1:8" ht="12" x14ac:dyDescent="0.3">
      <c r="A27" s="1" t="s">
        <v>9</v>
      </c>
    </row>
    <row r="28" spans="1:8" ht="12" x14ac:dyDescent="0.3">
      <c r="A28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K21"/>
  <sheetViews>
    <sheetView workbookViewId="0">
      <selection activeCell="H23" sqref="H23"/>
    </sheetView>
  </sheetViews>
  <sheetFormatPr defaultColWidth="10.3984375" defaultRowHeight="11.5" x14ac:dyDescent="0.25"/>
  <cols>
    <col min="1" max="1" width="9.5" customWidth="1"/>
    <col min="2" max="2" width="10.69921875" customWidth="1"/>
    <col min="3" max="11" width="9.09765625" customWidth="1"/>
  </cols>
  <sheetData>
    <row r="1" spans="1:11" ht="12" x14ac:dyDescent="0.3">
      <c r="A1" s="1" t="s">
        <v>0</v>
      </c>
    </row>
    <row r="2" spans="1:11" ht="12" x14ac:dyDescent="0.3">
      <c r="A2" s="1" t="s">
        <v>1</v>
      </c>
    </row>
    <row r="3" spans="1:11" ht="12" x14ac:dyDescent="0.3">
      <c r="A3" s="1" t="s">
        <v>2</v>
      </c>
    </row>
    <row r="4" spans="1:11" ht="12" x14ac:dyDescent="0.3">
      <c r="A4" s="2" t="s">
        <v>3</v>
      </c>
    </row>
    <row r="5" spans="1:11" ht="12" x14ac:dyDescent="0.3">
      <c r="A5" s="1" t="s">
        <v>495</v>
      </c>
    </row>
    <row r="6" spans="1:11" ht="12" x14ac:dyDescent="0.3">
      <c r="A6" s="2" t="s">
        <v>3</v>
      </c>
    </row>
    <row r="7" spans="1:11" ht="12" x14ac:dyDescent="0.3">
      <c r="A7" s="2" t="s">
        <v>3</v>
      </c>
    </row>
    <row r="8" spans="1:11" ht="12" x14ac:dyDescent="0.3">
      <c r="A8" s="2" t="s">
        <v>3</v>
      </c>
    </row>
    <row r="9" spans="1:11" ht="12" x14ac:dyDescent="0.3">
      <c r="A9" s="2" t="s">
        <v>3</v>
      </c>
    </row>
    <row r="10" spans="1:11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</row>
    <row r="11" spans="1:11" ht="12" x14ac:dyDescent="0.3">
      <c r="A11" s="2" t="s">
        <v>3</v>
      </c>
      <c r="B11" s="3" t="s">
        <v>496</v>
      </c>
      <c r="D11" s="2" t="s">
        <v>3</v>
      </c>
      <c r="E11" s="3" t="s">
        <v>497</v>
      </c>
      <c r="H11" s="2" t="s">
        <v>3</v>
      </c>
      <c r="I11" s="3" t="s">
        <v>498</v>
      </c>
    </row>
    <row r="12" spans="1:11" ht="12" x14ac:dyDescent="0.3">
      <c r="A12" s="2" t="s">
        <v>3</v>
      </c>
      <c r="B12" s="3" t="s">
        <v>499</v>
      </c>
      <c r="D12" s="2" t="s">
        <v>3</v>
      </c>
      <c r="E12" s="3" t="s">
        <v>500</v>
      </c>
    </row>
    <row r="13" spans="1:11" ht="12" x14ac:dyDescent="0.3">
      <c r="A13" s="2" t="s">
        <v>3</v>
      </c>
      <c r="B13" s="3" t="s">
        <v>501</v>
      </c>
      <c r="D13" s="2" t="s">
        <v>3</v>
      </c>
      <c r="E13" s="3" t="s">
        <v>502</v>
      </c>
    </row>
    <row r="14" spans="1:11" ht="12" x14ac:dyDescent="0.3">
      <c r="A14" s="4">
        <v>2019</v>
      </c>
      <c r="B14" s="5">
        <v>1097</v>
      </c>
      <c r="C14" s="2" t="s">
        <v>3</v>
      </c>
      <c r="D14" s="2" t="s">
        <v>3</v>
      </c>
      <c r="E14" s="8">
        <v>225.16</v>
      </c>
      <c r="G14" s="2" t="s">
        <v>3</v>
      </c>
      <c r="H14" s="2" t="s">
        <v>3</v>
      </c>
      <c r="I14" s="7">
        <v>247</v>
      </c>
      <c r="K14" s="2" t="s">
        <v>3</v>
      </c>
    </row>
    <row r="15" spans="1:11" ht="12" x14ac:dyDescent="0.3">
      <c r="A15" s="4">
        <v>2018</v>
      </c>
      <c r="B15" s="5">
        <v>1756</v>
      </c>
      <c r="C15" s="2" t="s">
        <v>3</v>
      </c>
      <c r="D15" s="2" t="s">
        <v>3</v>
      </c>
      <c r="E15" s="6">
        <v>183.13</v>
      </c>
      <c r="G15" s="2" t="s">
        <v>3</v>
      </c>
      <c r="H15" s="2" t="s">
        <v>3</v>
      </c>
      <c r="I15" s="5">
        <v>322</v>
      </c>
      <c r="K15" s="2" t="s">
        <v>3</v>
      </c>
    </row>
    <row r="16" spans="1:11" ht="12" x14ac:dyDescent="0.3">
      <c r="A16" s="4">
        <v>2017</v>
      </c>
      <c r="B16" s="5">
        <v>2998</v>
      </c>
      <c r="C16" s="2" t="s">
        <v>3</v>
      </c>
      <c r="D16" s="2" t="s">
        <v>3</v>
      </c>
      <c r="E16" s="6">
        <v>157.87</v>
      </c>
      <c r="G16" s="2" t="s">
        <v>3</v>
      </c>
      <c r="H16" s="2" t="s">
        <v>3</v>
      </c>
      <c r="I16" s="5">
        <v>473</v>
      </c>
      <c r="K16" s="2" t="s">
        <v>3</v>
      </c>
    </row>
    <row r="17" spans="1:1" ht="12" x14ac:dyDescent="0.3">
      <c r="A17" s="2" t="s">
        <v>3</v>
      </c>
    </row>
    <row r="18" spans="1:1" ht="12" x14ac:dyDescent="0.3">
      <c r="A18" s="2" t="s">
        <v>3</v>
      </c>
    </row>
    <row r="19" spans="1:1" ht="12" x14ac:dyDescent="0.3">
      <c r="A19" s="1" t="s">
        <v>8</v>
      </c>
    </row>
    <row r="20" spans="1:1" ht="12" x14ac:dyDescent="0.3">
      <c r="A20" s="1" t="s">
        <v>9</v>
      </c>
    </row>
    <row r="21" spans="1:1" ht="12" x14ac:dyDescent="0.3">
      <c r="A21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G23"/>
  <sheetViews>
    <sheetView workbookViewId="0">
      <selection activeCell="H23" sqref="H23"/>
    </sheetView>
  </sheetViews>
  <sheetFormatPr defaultColWidth="10.3984375" defaultRowHeight="11.5" x14ac:dyDescent="0.25"/>
  <cols>
    <col min="1" max="1" width="36.69921875" customWidth="1"/>
    <col min="2" max="2" width="10.69921875" customWidth="1"/>
    <col min="3" max="7" width="9.09765625" customWidth="1"/>
  </cols>
  <sheetData>
    <row r="1" spans="1:7" ht="12" x14ac:dyDescent="0.3">
      <c r="A1" s="1" t="s">
        <v>0</v>
      </c>
    </row>
    <row r="2" spans="1:7" ht="12" x14ac:dyDescent="0.3">
      <c r="A2" s="1" t="s">
        <v>1</v>
      </c>
    </row>
    <row r="3" spans="1:7" ht="12" x14ac:dyDescent="0.3">
      <c r="A3" s="1" t="s">
        <v>2</v>
      </c>
    </row>
    <row r="4" spans="1:7" ht="12" x14ac:dyDescent="0.3">
      <c r="A4" s="2" t="s">
        <v>3</v>
      </c>
    </row>
    <row r="5" spans="1:7" ht="12" x14ac:dyDescent="0.3">
      <c r="A5" s="1" t="s">
        <v>503</v>
      </c>
    </row>
    <row r="6" spans="1:7" ht="12" x14ac:dyDescent="0.3">
      <c r="A6" s="2" t="s">
        <v>3</v>
      </c>
    </row>
    <row r="7" spans="1:7" ht="12" x14ac:dyDescent="0.3">
      <c r="A7" s="2" t="s">
        <v>3</v>
      </c>
    </row>
    <row r="8" spans="1:7" ht="12" x14ac:dyDescent="0.3">
      <c r="A8" s="2" t="s">
        <v>3</v>
      </c>
    </row>
    <row r="9" spans="1:7" ht="12" x14ac:dyDescent="0.3">
      <c r="A9" s="2" t="s">
        <v>3</v>
      </c>
    </row>
    <row r="10" spans="1:7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</row>
    <row r="11" spans="1:7" ht="12" x14ac:dyDescent="0.3">
      <c r="A11" s="2" t="s">
        <v>3</v>
      </c>
      <c r="B11" s="3" t="s">
        <v>504</v>
      </c>
      <c r="D11" s="2" t="s">
        <v>3</v>
      </c>
      <c r="E11" s="3" t="s">
        <v>505</v>
      </c>
    </row>
    <row r="12" spans="1:7" ht="12" x14ac:dyDescent="0.3">
      <c r="A12" s="2" t="s">
        <v>3</v>
      </c>
      <c r="B12" s="3" t="s">
        <v>506</v>
      </c>
      <c r="D12" s="2" t="s">
        <v>3</v>
      </c>
      <c r="E12" s="3" t="s">
        <v>507</v>
      </c>
    </row>
    <row r="13" spans="1:7" ht="12" x14ac:dyDescent="0.3">
      <c r="A13" s="2" t="s">
        <v>3</v>
      </c>
      <c r="B13" s="3" t="s">
        <v>508</v>
      </c>
      <c r="D13" s="2" t="s">
        <v>3</v>
      </c>
      <c r="E13" s="3" t="s">
        <v>509</v>
      </c>
    </row>
    <row r="14" spans="1:7" ht="12" x14ac:dyDescent="0.3">
      <c r="A14" s="3" t="s">
        <v>510</v>
      </c>
      <c r="B14" s="5">
        <v>7578</v>
      </c>
      <c r="C14" s="2" t="s">
        <v>3</v>
      </c>
      <c r="D14" s="2" t="s">
        <v>3</v>
      </c>
      <c r="E14" s="8">
        <v>140.85</v>
      </c>
      <c r="G14" s="2" t="s">
        <v>3</v>
      </c>
    </row>
    <row r="15" spans="1:7" ht="12" x14ac:dyDescent="0.3">
      <c r="A15" s="3" t="s">
        <v>511</v>
      </c>
      <c r="B15" s="5">
        <v>2792</v>
      </c>
      <c r="C15" s="2" t="s">
        <v>3</v>
      </c>
      <c r="D15" s="2" t="s">
        <v>3</v>
      </c>
      <c r="E15" s="6">
        <v>224</v>
      </c>
      <c r="G15" s="2" t="s">
        <v>3</v>
      </c>
    </row>
    <row r="16" spans="1:7" ht="12" x14ac:dyDescent="0.3">
      <c r="A16" s="3" t="s">
        <v>512</v>
      </c>
      <c r="B16" s="5">
        <v>-3719</v>
      </c>
      <c r="C16" s="3" t="s">
        <v>3</v>
      </c>
      <c r="D16" s="2" t="s">
        <v>3</v>
      </c>
      <c r="E16" s="6">
        <v>155.65</v>
      </c>
      <c r="G16" s="2" t="s">
        <v>3</v>
      </c>
    </row>
    <row r="17" spans="1:7" ht="12" x14ac:dyDescent="0.3">
      <c r="A17" s="3" t="s">
        <v>513</v>
      </c>
      <c r="B17" s="5">
        <v>-155</v>
      </c>
      <c r="C17" s="3" t="s">
        <v>3</v>
      </c>
      <c r="D17" s="2" t="s">
        <v>3</v>
      </c>
      <c r="E17" s="6">
        <v>164.75</v>
      </c>
      <c r="G17" s="2" t="s">
        <v>3</v>
      </c>
    </row>
    <row r="18" spans="1:7" ht="12" x14ac:dyDescent="0.3">
      <c r="A18" s="3" t="s">
        <v>514</v>
      </c>
      <c r="B18" s="5">
        <v>6496</v>
      </c>
      <c r="C18" s="2" t="s">
        <v>3</v>
      </c>
      <c r="D18" s="2" t="s">
        <v>3</v>
      </c>
      <c r="E18" s="8">
        <v>167.55</v>
      </c>
      <c r="G18" s="2" t="s">
        <v>3</v>
      </c>
    </row>
    <row r="19" spans="1:7" ht="12" x14ac:dyDescent="0.3">
      <c r="A19" s="2" t="s">
        <v>3</v>
      </c>
    </row>
    <row r="20" spans="1:7" ht="12" x14ac:dyDescent="0.3">
      <c r="A20" s="2" t="s">
        <v>3</v>
      </c>
    </row>
    <row r="21" spans="1:7" ht="12" x14ac:dyDescent="0.3">
      <c r="A21" s="1" t="s">
        <v>8</v>
      </c>
    </row>
    <row r="22" spans="1:7" ht="12" x14ac:dyDescent="0.3">
      <c r="A22" s="1" t="s">
        <v>9</v>
      </c>
    </row>
    <row r="23" spans="1:7" ht="12" x14ac:dyDescent="0.3">
      <c r="A23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L20"/>
  <sheetViews>
    <sheetView workbookViewId="0">
      <selection activeCell="H23" sqref="H23"/>
    </sheetView>
  </sheetViews>
  <sheetFormatPr defaultColWidth="10.3984375" defaultRowHeight="11.5" x14ac:dyDescent="0.25"/>
  <cols>
    <col min="1" max="1" width="47.3984375" customWidth="1"/>
    <col min="2" max="12" width="9.09765625" customWidth="1"/>
  </cols>
  <sheetData>
    <row r="1" spans="1:12" ht="12" x14ac:dyDescent="0.3">
      <c r="A1" s="1" t="s">
        <v>0</v>
      </c>
    </row>
    <row r="2" spans="1:12" ht="12" x14ac:dyDescent="0.3">
      <c r="A2" s="1" t="s">
        <v>1</v>
      </c>
    </row>
    <row r="3" spans="1:12" ht="12" x14ac:dyDescent="0.3">
      <c r="A3" s="1" t="s">
        <v>2</v>
      </c>
    </row>
    <row r="4" spans="1:12" ht="12" x14ac:dyDescent="0.3">
      <c r="A4" s="2" t="s">
        <v>3</v>
      </c>
    </row>
    <row r="5" spans="1:12" ht="12" x14ac:dyDescent="0.3">
      <c r="A5" s="1" t="s">
        <v>515</v>
      </c>
    </row>
    <row r="6" spans="1:12" ht="12" x14ac:dyDescent="0.3">
      <c r="A6" s="2" t="s">
        <v>3</v>
      </c>
    </row>
    <row r="7" spans="1:12" ht="12" x14ac:dyDescent="0.3">
      <c r="A7" s="2" t="s">
        <v>3</v>
      </c>
    </row>
    <row r="8" spans="1:12" ht="12" x14ac:dyDescent="0.3">
      <c r="A8" s="2" t="s">
        <v>3</v>
      </c>
    </row>
    <row r="9" spans="1:12" ht="12" x14ac:dyDescent="0.3">
      <c r="A9" s="2" t="s">
        <v>3</v>
      </c>
    </row>
    <row r="10" spans="1:12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</row>
    <row r="11" spans="1:12" ht="12" x14ac:dyDescent="0.3">
      <c r="A11" s="2" t="s">
        <v>3</v>
      </c>
      <c r="B11" s="4">
        <v>2019</v>
      </c>
      <c r="E11" s="2" t="s">
        <v>3</v>
      </c>
      <c r="F11" s="4">
        <v>2018</v>
      </c>
      <c r="I11" s="2" t="s">
        <v>3</v>
      </c>
      <c r="J11" s="4">
        <v>2017</v>
      </c>
    </row>
    <row r="12" spans="1:12" ht="12" x14ac:dyDescent="0.3">
      <c r="A12" s="3" t="s">
        <v>516</v>
      </c>
      <c r="B12" s="7">
        <v>595</v>
      </c>
      <c r="D12" s="2" t="s">
        <v>3</v>
      </c>
      <c r="E12" s="2" t="s">
        <v>3</v>
      </c>
      <c r="F12" s="7">
        <v>544</v>
      </c>
      <c r="H12" s="2" t="s">
        <v>3</v>
      </c>
      <c r="I12" s="2" t="s">
        <v>3</v>
      </c>
      <c r="J12" s="7">
        <v>514</v>
      </c>
      <c r="L12" s="2" t="s">
        <v>3</v>
      </c>
    </row>
    <row r="13" spans="1:12" ht="12" x14ac:dyDescent="0.3">
      <c r="A13" s="3" t="s">
        <v>517</v>
      </c>
    </row>
    <row r="14" spans="1:12" ht="12" x14ac:dyDescent="0.3">
      <c r="A14" s="3" t="s">
        <v>518</v>
      </c>
      <c r="B14" s="5">
        <v>-128</v>
      </c>
      <c r="D14" s="3" t="s">
        <v>3</v>
      </c>
      <c r="E14" s="2" t="s">
        <v>3</v>
      </c>
      <c r="F14" s="5">
        <v>-116</v>
      </c>
      <c r="H14" s="3" t="s">
        <v>3</v>
      </c>
      <c r="I14" s="2" t="s">
        <v>3</v>
      </c>
      <c r="J14" s="5">
        <v>-167</v>
      </c>
      <c r="L14" s="3" t="s">
        <v>3</v>
      </c>
    </row>
    <row r="15" spans="1:12" ht="12" x14ac:dyDescent="0.3">
      <c r="A15" s="3" t="s">
        <v>519</v>
      </c>
      <c r="B15" s="7">
        <v>467</v>
      </c>
      <c r="D15" s="2" t="s">
        <v>3</v>
      </c>
      <c r="E15" s="2" t="s">
        <v>3</v>
      </c>
      <c r="F15" s="7">
        <v>428</v>
      </c>
      <c r="H15" s="2" t="s">
        <v>3</v>
      </c>
      <c r="I15" s="2" t="s">
        <v>3</v>
      </c>
      <c r="J15" s="7">
        <v>347</v>
      </c>
      <c r="L15" s="2" t="s">
        <v>3</v>
      </c>
    </row>
    <row r="16" spans="1:12" ht="12" x14ac:dyDescent="0.3">
      <c r="A16" s="3" t="s">
        <v>520</v>
      </c>
    </row>
    <row r="17" spans="1:1" ht="12" x14ac:dyDescent="0.3">
      <c r="A17" s="2" t="s">
        <v>3</v>
      </c>
    </row>
    <row r="18" spans="1:1" ht="12" x14ac:dyDescent="0.3">
      <c r="A18" s="1" t="s">
        <v>8</v>
      </c>
    </row>
    <row r="19" spans="1:1" ht="12" x14ac:dyDescent="0.3">
      <c r="A19" s="1" t="s">
        <v>9</v>
      </c>
    </row>
    <row r="20" spans="1:1" ht="12" x14ac:dyDescent="0.3">
      <c r="A20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9"/>
  <sheetViews>
    <sheetView workbookViewId="0">
      <selection activeCell="H23" sqref="H23"/>
    </sheetView>
  </sheetViews>
  <sheetFormatPr defaultColWidth="10.3984375" defaultRowHeight="11.5" x14ac:dyDescent="0.25"/>
  <cols>
    <col min="1" max="1" width="23.59765625" customWidth="1"/>
    <col min="2" max="2" width="13.09765625" customWidth="1"/>
    <col min="3" max="4" width="9.09765625" customWidth="1"/>
    <col min="5" max="5" width="13.09765625" customWidth="1"/>
    <col min="6" max="7" width="9.09765625" customWidth="1"/>
    <col min="8" max="8" width="13.09765625" customWidth="1"/>
    <col min="9" max="9" width="9.09765625" customWidth="1"/>
  </cols>
  <sheetData>
    <row r="1" spans="1:9" ht="12" x14ac:dyDescent="0.3">
      <c r="A1" s="1" t="s">
        <v>0</v>
      </c>
    </row>
    <row r="2" spans="1:9" ht="12" x14ac:dyDescent="0.3">
      <c r="A2" s="1" t="s">
        <v>1</v>
      </c>
    </row>
    <row r="3" spans="1:9" ht="12" x14ac:dyDescent="0.3">
      <c r="A3" s="1" t="s">
        <v>2</v>
      </c>
    </row>
    <row r="4" spans="1:9" ht="12" x14ac:dyDescent="0.3">
      <c r="A4" s="2" t="s">
        <v>3</v>
      </c>
    </row>
    <row r="5" spans="1:9" ht="12" x14ac:dyDescent="0.3">
      <c r="A5" s="1" t="s">
        <v>83</v>
      </c>
    </row>
    <row r="6" spans="1:9" ht="12" x14ac:dyDescent="0.3">
      <c r="A6" s="2" t="s">
        <v>3</v>
      </c>
    </row>
    <row r="7" spans="1:9" ht="12" x14ac:dyDescent="0.3">
      <c r="A7" s="2" t="s">
        <v>3</v>
      </c>
    </row>
    <row r="8" spans="1:9" ht="12" x14ac:dyDescent="0.3">
      <c r="A8" s="2" t="s">
        <v>3</v>
      </c>
    </row>
    <row r="9" spans="1:9" ht="12" x14ac:dyDescent="0.3">
      <c r="A9" s="2" t="s">
        <v>3</v>
      </c>
    </row>
    <row r="10" spans="1:9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</row>
    <row r="11" spans="1:9" ht="12" x14ac:dyDescent="0.3">
      <c r="A11" s="2" t="s">
        <v>3</v>
      </c>
      <c r="B11" s="4">
        <v>2019</v>
      </c>
      <c r="D11" s="2" t="s">
        <v>3</v>
      </c>
      <c r="E11" s="4">
        <v>2018</v>
      </c>
      <c r="G11" s="2" t="s">
        <v>3</v>
      </c>
      <c r="H11" s="4">
        <v>2017</v>
      </c>
    </row>
    <row r="12" spans="1:9" ht="12" x14ac:dyDescent="0.3">
      <c r="A12" s="3" t="s">
        <v>84</v>
      </c>
      <c r="B12" s="5">
        <v>149000</v>
      </c>
      <c r="C12" s="2" t="s">
        <v>3</v>
      </c>
      <c r="D12" s="2" t="s">
        <v>3</v>
      </c>
      <c r="E12" s="5">
        <v>143000</v>
      </c>
      <c r="F12" s="2" t="s">
        <v>3</v>
      </c>
      <c r="G12" s="2" t="s">
        <v>3</v>
      </c>
      <c r="H12" s="5">
        <v>133000</v>
      </c>
      <c r="I12" s="2" t="s">
        <v>3</v>
      </c>
    </row>
    <row r="13" spans="1:9" ht="12" x14ac:dyDescent="0.3">
      <c r="A13" s="3" t="s">
        <v>85</v>
      </c>
      <c r="B13" s="5">
        <v>105000</v>
      </c>
      <c r="C13" s="2" t="s">
        <v>3</v>
      </c>
      <c r="D13" s="2" t="s">
        <v>3</v>
      </c>
      <c r="E13" s="5">
        <v>102000</v>
      </c>
      <c r="F13" s="2" t="s">
        <v>3</v>
      </c>
      <c r="G13" s="2" t="s">
        <v>3</v>
      </c>
      <c r="H13" s="5">
        <v>98000</v>
      </c>
      <c r="I13" s="2" t="s">
        <v>3</v>
      </c>
    </row>
    <row r="14" spans="1:9" ht="12" x14ac:dyDescent="0.3">
      <c r="A14" s="1" t="s">
        <v>86</v>
      </c>
      <c r="B14" s="5">
        <v>254000</v>
      </c>
      <c r="C14" s="2" t="s">
        <v>3</v>
      </c>
      <c r="D14" s="2" t="s">
        <v>3</v>
      </c>
      <c r="E14" s="5">
        <v>245000</v>
      </c>
      <c r="F14" s="2" t="s">
        <v>3</v>
      </c>
      <c r="G14" s="2" t="s">
        <v>3</v>
      </c>
      <c r="H14" s="5">
        <v>231000</v>
      </c>
      <c r="I14" s="2" t="s">
        <v>3</v>
      </c>
    </row>
    <row r="15" spans="1:9" ht="12" x14ac:dyDescent="0.3">
      <c r="A15" s="2" t="s">
        <v>3</v>
      </c>
    </row>
    <row r="16" spans="1:9" ht="12" x14ac:dyDescent="0.3">
      <c r="A16" s="2" t="s">
        <v>3</v>
      </c>
    </row>
    <row r="17" spans="1:1" ht="12" x14ac:dyDescent="0.3">
      <c r="A17" s="1" t="s">
        <v>8</v>
      </c>
    </row>
    <row r="18" spans="1:1" ht="12" x14ac:dyDescent="0.3">
      <c r="A18" s="1" t="s">
        <v>9</v>
      </c>
    </row>
    <row r="19" spans="1:1" ht="12" x14ac:dyDescent="0.3">
      <c r="A19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L19"/>
  <sheetViews>
    <sheetView workbookViewId="0">
      <selection activeCell="H23" sqref="H23"/>
    </sheetView>
  </sheetViews>
  <sheetFormatPr defaultColWidth="10.3984375" defaultRowHeight="11.5" x14ac:dyDescent="0.25"/>
  <cols>
    <col min="1" max="1" width="10.5" customWidth="1"/>
    <col min="2" max="12" width="9.09765625" customWidth="1"/>
  </cols>
  <sheetData>
    <row r="1" spans="1:12" ht="12" x14ac:dyDescent="0.3">
      <c r="A1" s="1" t="s">
        <v>0</v>
      </c>
    </row>
    <row r="2" spans="1:12" ht="12" x14ac:dyDescent="0.3">
      <c r="A2" s="1" t="s">
        <v>1</v>
      </c>
    </row>
    <row r="3" spans="1:12" ht="12" x14ac:dyDescent="0.3">
      <c r="A3" s="1" t="s">
        <v>2</v>
      </c>
    </row>
    <row r="4" spans="1:12" ht="12" x14ac:dyDescent="0.3">
      <c r="A4" s="2" t="s">
        <v>3</v>
      </c>
    </row>
    <row r="5" spans="1:12" ht="12" x14ac:dyDescent="0.3">
      <c r="A5" s="1" t="s">
        <v>521</v>
      </c>
    </row>
    <row r="6" spans="1:12" ht="12" x14ac:dyDescent="0.3">
      <c r="A6" s="2" t="s">
        <v>3</v>
      </c>
    </row>
    <row r="7" spans="1:12" ht="12" x14ac:dyDescent="0.3">
      <c r="A7" s="2" t="s">
        <v>3</v>
      </c>
    </row>
    <row r="8" spans="1:12" ht="12" x14ac:dyDescent="0.3">
      <c r="A8" s="2" t="s">
        <v>3</v>
      </c>
    </row>
    <row r="9" spans="1:12" ht="12" x14ac:dyDescent="0.3">
      <c r="A9" s="2" t="s">
        <v>3</v>
      </c>
    </row>
    <row r="10" spans="1:12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</row>
    <row r="11" spans="1:12" ht="12" x14ac:dyDescent="0.3">
      <c r="A11" s="2" t="s">
        <v>3</v>
      </c>
      <c r="B11" s="4">
        <v>2019</v>
      </c>
      <c r="E11" s="2" t="s">
        <v>3</v>
      </c>
      <c r="F11" s="4">
        <v>2018</v>
      </c>
      <c r="I11" s="2" t="s">
        <v>3</v>
      </c>
      <c r="J11" s="4">
        <v>2017</v>
      </c>
    </row>
    <row r="12" spans="1:12" ht="12" x14ac:dyDescent="0.3">
      <c r="A12" s="3" t="s">
        <v>522</v>
      </c>
      <c r="B12" s="7">
        <v>3591</v>
      </c>
      <c r="D12" s="2" t="s">
        <v>3</v>
      </c>
      <c r="E12" s="2" t="s">
        <v>3</v>
      </c>
      <c r="F12" s="7">
        <v>3182</v>
      </c>
      <c r="H12" s="2" t="s">
        <v>3</v>
      </c>
      <c r="I12" s="2" t="s">
        <v>3</v>
      </c>
      <c r="J12" s="7">
        <v>2988</v>
      </c>
      <c r="L12" s="2" t="s">
        <v>3</v>
      </c>
    </row>
    <row r="13" spans="1:12" ht="12" x14ac:dyDescent="0.3">
      <c r="A13" s="3" t="s">
        <v>523</v>
      </c>
      <c r="B13" s="5">
        <v>1174</v>
      </c>
      <c r="D13" s="2" t="s">
        <v>3</v>
      </c>
      <c r="E13" s="2" t="s">
        <v>3</v>
      </c>
      <c r="F13" s="5">
        <v>1260</v>
      </c>
      <c r="H13" s="2" t="s">
        <v>3</v>
      </c>
      <c r="I13" s="2" t="s">
        <v>3</v>
      </c>
      <c r="J13" s="5">
        <v>1051</v>
      </c>
      <c r="L13" s="2" t="s">
        <v>3</v>
      </c>
    </row>
    <row r="14" spans="1:12" ht="12" x14ac:dyDescent="0.3">
      <c r="A14" s="1" t="s">
        <v>146</v>
      </c>
      <c r="B14" s="7">
        <v>4765</v>
      </c>
      <c r="D14" s="2" t="s">
        <v>3</v>
      </c>
      <c r="E14" s="2" t="s">
        <v>3</v>
      </c>
      <c r="F14" s="7">
        <v>4442</v>
      </c>
      <c r="H14" s="2" t="s">
        <v>3</v>
      </c>
      <c r="I14" s="2" t="s">
        <v>3</v>
      </c>
      <c r="J14" s="7">
        <v>4039</v>
      </c>
      <c r="L14" s="2" t="s">
        <v>3</v>
      </c>
    </row>
    <row r="15" spans="1:12" ht="12" x14ac:dyDescent="0.3">
      <c r="A15" s="2" t="s">
        <v>3</v>
      </c>
    </row>
    <row r="16" spans="1:12" ht="12" x14ac:dyDescent="0.3">
      <c r="A16" s="2" t="s">
        <v>3</v>
      </c>
    </row>
    <row r="17" spans="1:1" ht="12" x14ac:dyDescent="0.3">
      <c r="A17" s="1" t="s">
        <v>8</v>
      </c>
    </row>
    <row r="18" spans="1:1" ht="12" x14ac:dyDescent="0.3">
      <c r="A18" s="1" t="s">
        <v>9</v>
      </c>
    </row>
    <row r="19" spans="1:1" ht="12" x14ac:dyDescent="0.3">
      <c r="A19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L29"/>
  <sheetViews>
    <sheetView workbookViewId="0">
      <selection activeCell="H23" sqref="H23"/>
    </sheetView>
  </sheetViews>
  <sheetFormatPr defaultColWidth="10.3984375" defaultRowHeight="11.5" x14ac:dyDescent="0.25"/>
  <cols>
    <col min="1" max="1" width="39" customWidth="1"/>
    <col min="2" max="12" width="9.09765625" customWidth="1"/>
  </cols>
  <sheetData>
    <row r="1" spans="1:12" ht="12" x14ac:dyDescent="0.3">
      <c r="A1" s="1" t="s">
        <v>0</v>
      </c>
    </row>
    <row r="2" spans="1:12" ht="12" x14ac:dyDescent="0.3">
      <c r="A2" s="1" t="s">
        <v>1</v>
      </c>
    </row>
    <row r="3" spans="1:12" ht="12" x14ac:dyDescent="0.3">
      <c r="A3" s="1" t="s">
        <v>2</v>
      </c>
    </row>
    <row r="4" spans="1:12" ht="12" x14ac:dyDescent="0.3">
      <c r="A4" s="2" t="s">
        <v>3</v>
      </c>
    </row>
    <row r="5" spans="1:12" ht="12" x14ac:dyDescent="0.3">
      <c r="A5" s="1" t="s">
        <v>521</v>
      </c>
    </row>
    <row r="6" spans="1:12" ht="12" x14ac:dyDescent="0.3">
      <c r="A6" s="2" t="s">
        <v>3</v>
      </c>
    </row>
    <row r="7" spans="1:12" ht="12" x14ac:dyDescent="0.3">
      <c r="A7" s="2" t="s">
        <v>3</v>
      </c>
    </row>
    <row r="8" spans="1:12" ht="12" x14ac:dyDescent="0.3">
      <c r="A8" s="2" t="s">
        <v>3</v>
      </c>
    </row>
    <row r="9" spans="1:12" ht="12" x14ac:dyDescent="0.3">
      <c r="A9" s="2" t="s">
        <v>3</v>
      </c>
    </row>
    <row r="10" spans="1:12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</row>
    <row r="11" spans="1:12" ht="12" x14ac:dyDescent="0.3">
      <c r="A11" s="2" t="s">
        <v>3</v>
      </c>
      <c r="B11" s="4">
        <v>2019</v>
      </c>
      <c r="E11" s="2" t="s">
        <v>3</v>
      </c>
      <c r="F11" s="4">
        <v>2018</v>
      </c>
      <c r="I11" s="2" t="s">
        <v>3</v>
      </c>
      <c r="J11" s="4">
        <v>2017</v>
      </c>
    </row>
    <row r="12" spans="1:12" ht="12" x14ac:dyDescent="0.3">
      <c r="A12" s="3" t="s">
        <v>524</v>
      </c>
      <c r="B12" s="2" t="s">
        <v>3</v>
      </c>
      <c r="E12" s="2" t="s">
        <v>3</v>
      </c>
      <c r="F12" s="2" t="s">
        <v>3</v>
      </c>
      <c r="I12" s="2" t="s">
        <v>3</v>
      </c>
      <c r="J12" s="2" t="s">
        <v>3</v>
      </c>
    </row>
    <row r="13" spans="1:12" ht="12" x14ac:dyDescent="0.3">
      <c r="A13" s="3" t="s">
        <v>525</v>
      </c>
      <c r="B13" s="7">
        <v>328</v>
      </c>
      <c r="D13" s="2" t="s">
        <v>3</v>
      </c>
      <c r="E13" s="2" t="s">
        <v>3</v>
      </c>
      <c r="F13" s="7">
        <v>636</v>
      </c>
      <c r="H13" s="2" t="s">
        <v>3</v>
      </c>
      <c r="I13" s="2" t="s">
        <v>3</v>
      </c>
      <c r="J13" s="7">
        <v>802</v>
      </c>
      <c r="L13" s="2" t="s">
        <v>3</v>
      </c>
    </row>
    <row r="14" spans="1:12" ht="12" x14ac:dyDescent="0.3">
      <c r="A14" s="3" t="s">
        <v>526</v>
      </c>
      <c r="B14" s="5">
        <v>222</v>
      </c>
      <c r="D14" s="2" t="s">
        <v>3</v>
      </c>
      <c r="E14" s="2" t="s">
        <v>3</v>
      </c>
      <c r="F14" s="5">
        <v>-35</v>
      </c>
      <c r="H14" s="3" t="s">
        <v>3</v>
      </c>
      <c r="I14" s="2" t="s">
        <v>3</v>
      </c>
      <c r="J14" s="5">
        <v>7</v>
      </c>
      <c r="L14" s="2" t="s">
        <v>3</v>
      </c>
    </row>
    <row r="15" spans="1:12" ht="12" x14ac:dyDescent="0.3">
      <c r="A15" s="1" t="s">
        <v>527</v>
      </c>
      <c r="B15" s="5">
        <v>550</v>
      </c>
      <c r="D15" s="2" t="s">
        <v>3</v>
      </c>
      <c r="E15" s="2" t="s">
        <v>3</v>
      </c>
      <c r="F15" s="5">
        <v>601</v>
      </c>
      <c r="H15" s="2" t="s">
        <v>3</v>
      </c>
      <c r="I15" s="2" t="s">
        <v>3</v>
      </c>
      <c r="J15" s="5">
        <v>809</v>
      </c>
      <c r="L15" s="2" t="s">
        <v>3</v>
      </c>
    </row>
    <row r="16" spans="1:12" ht="12" x14ac:dyDescent="0.3">
      <c r="A16" s="3" t="s">
        <v>528</v>
      </c>
      <c r="B16" s="2" t="s">
        <v>3</v>
      </c>
      <c r="E16" s="2" t="s">
        <v>3</v>
      </c>
      <c r="F16" s="2" t="s">
        <v>3</v>
      </c>
      <c r="I16" s="2" t="s">
        <v>3</v>
      </c>
      <c r="J16" s="2" t="s">
        <v>3</v>
      </c>
    </row>
    <row r="17" spans="1:12" ht="12" x14ac:dyDescent="0.3">
      <c r="A17" s="3" t="s">
        <v>525</v>
      </c>
      <c r="B17" s="5">
        <v>178</v>
      </c>
      <c r="D17" s="2" t="s">
        <v>3</v>
      </c>
      <c r="E17" s="2" t="s">
        <v>3</v>
      </c>
      <c r="F17" s="5">
        <v>190</v>
      </c>
      <c r="H17" s="2" t="s">
        <v>3</v>
      </c>
      <c r="I17" s="2" t="s">
        <v>3</v>
      </c>
      <c r="J17" s="5">
        <v>161</v>
      </c>
      <c r="L17" s="2" t="s">
        <v>3</v>
      </c>
    </row>
    <row r="18" spans="1:12" ht="12" x14ac:dyDescent="0.3">
      <c r="A18" s="3" t="s">
        <v>526</v>
      </c>
      <c r="B18" s="5">
        <v>26</v>
      </c>
      <c r="D18" s="2" t="s">
        <v>3</v>
      </c>
      <c r="E18" s="2" t="s">
        <v>3</v>
      </c>
      <c r="F18" s="5">
        <v>22</v>
      </c>
      <c r="H18" s="2" t="s">
        <v>3</v>
      </c>
      <c r="I18" s="2" t="s">
        <v>3</v>
      </c>
      <c r="J18" s="5">
        <v>8</v>
      </c>
      <c r="L18" s="2" t="s">
        <v>3</v>
      </c>
    </row>
    <row r="19" spans="1:12" ht="12" x14ac:dyDescent="0.3">
      <c r="A19" s="1" t="s">
        <v>529</v>
      </c>
      <c r="B19" s="5">
        <v>204</v>
      </c>
      <c r="D19" s="2" t="s">
        <v>3</v>
      </c>
      <c r="E19" s="2" t="s">
        <v>3</v>
      </c>
      <c r="F19" s="5">
        <v>212</v>
      </c>
      <c r="H19" s="2" t="s">
        <v>3</v>
      </c>
      <c r="I19" s="2" t="s">
        <v>3</v>
      </c>
      <c r="J19" s="5">
        <v>169</v>
      </c>
      <c r="L19" s="2" t="s">
        <v>3</v>
      </c>
    </row>
    <row r="20" spans="1:12" ht="12" x14ac:dyDescent="0.3">
      <c r="A20" s="3" t="s">
        <v>530</v>
      </c>
      <c r="B20" s="2" t="s">
        <v>3</v>
      </c>
      <c r="E20" s="2" t="s">
        <v>3</v>
      </c>
      <c r="F20" s="2" t="s">
        <v>3</v>
      </c>
      <c r="I20" s="2" t="s">
        <v>3</v>
      </c>
      <c r="J20" s="2" t="s">
        <v>3</v>
      </c>
    </row>
    <row r="21" spans="1:12" ht="12" x14ac:dyDescent="0.3">
      <c r="A21" s="3" t="s">
        <v>525</v>
      </c>
      <c r="B21" s="5">
        <v>405</v>
      </c>
      <c r="D21" s="2" t="s">
        <v>3</v>
      </c>
      <c r="E21" s="2" t="s">
        <v>3</v>
      </c>
      <c r="F21" s="5">
        <v>487</v>
      </c>
      <c r="H21" s="2" t="s">
        <v>3</v>
      </c>
      <c r="I21" s="2" t="s">
        <v>3</v>
      </c>
      <c r="J21" s="5">
        <v>389</v>
      </c>
      <c r="L21" s="2" t="s">
        <v>3</v>
      </c>
    </row>
    <row r="22" spans="1:12" ht="12" x14ac:dyDescent="0.3">
      <c r="A22" s="3" t="s">
        <v>526</v>
      </c>
      <c r="B22" s="5">
        <v>-98</v>
      </c>
      <c r="D22" s="3" t="s">
        <v>3</v>
      </c>
      <c r="E22" s="2" t="s">
        <v>3</v>
      </c>
      <c r="F22" s="5">
        <v>-37</v>
      </c>
      <c r="H22" s="3" t="s">
        <v>3</v>
      </c>
      <c r="I22" s="2" t="s">
        <v>3</v>
      </c>
      <c r="J22" s="5">
        <v>-42</v>
      </c>
      <c r="L22" s="3" t="s">
        <v>3</v>
      </c>
    </row>
    <row r="23" spans="1:12" ht="12" x14ac:dyDescent="0.3">
      <c r="A23" s="1" t="s">
        <v>531</v>
      </c>
      <c r="B23" s="5">
        <v>307</v>
      </c>
      <c r="D23" s="2" t="s">
        <v>3</v>
      </c>
      <c r="E23" s="2" t="s">
        <v>3</v>
      </c>
      <c r="F23" s="5">
        <v>450</v>
      </c>
      <c r="H23" s="2" t="s">
        <v>3</v>
      </c>
      <c r="I23" s="2" t="s">
        <v>3</v>
      </c>
      <c r="J23" s="5">
        <v>347</v>
      </c>
      <c r="L23" s="2" t="s">
        <v>3</v>
      </c>
    </row>
    <row r="24" spans="1:12" ht="12" x14ac:dyDescent="0.3">
      <c r="A24" s="1" t="s">
        <v>532</v>
      </c>
      <c r="B24" s="7">
        <v>1061</v>
      </c>
      <c r="D24" s="2" t="s">
        <v>3</v>
      </c>
      <c r="E24" s="2" t="s">
        <v>3</v>
      </c>
      <c r="F24" s="7">
        <v>1263</v>
      </c>
      <c r="H24" s="2" t="s">
        <v>3</v>
      </c>
      <c r="I24" s="2" t="s">
        <v>3</v>
      </c>
      <c r="J24" s="7">
        <v>1325</v>
      </c>
      <c r="L24" s="2" t="s">
        <v>3</v>
      </c>
    </row>
    <row r="25" spans="1:12" ht="12" x14ac:dyDescent="0.3">
      <c r="A25" s="2" t="s">
        <v>3</v>
      </c>
    </row>
    <row r="26" spans="1:12" ht="12" x14ac:dyDescent="0.3">
      <c r="A26" s="2" t="s">
        <v>3</v>
      </c>
    </row>
    <row r="27" spans="1:12" ht="12" x14ac:dyDescent="0.3">
      <c r="A27" s="1" t="s">
        <v>8</v>
      </c>
    </row>
    <row r="28" spans="1:12" ht="12" x14ac:dyDescent="0.3">
      <c r="A28" s="1" t="s">
        <v>9</v>
      </c>
    </row>
    <row r="29" spans="1:12" ht="12" x14ac:dyDescent="0.3">
      <c r="A29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U23"/>
  <sheetViews>
    <sheetView workbookViewId="0">
      <selection activeCell="A23" sqref="A23:U23"/>
    </sheetView>
  </sheetViews>
  <sheetFormatPr defaultColWidth="10.3984375" defaultRowHeight="11.5" x14ac:dyDescent="0.25"/>
  <cols>
    <col min="1" max="1" width="43.796875" customWidth="1"/>
    <col min="2" max="5" width="9.09765625" customWidth="1"/>
    <col min="6" max="6" width="9.5" customWidth="1"/>
    <col min="7" max="7" width="2.09765625" customWidth="1"/>
    <col min="8" max="12" width="9.09765625" customWidth="1"/>
    <col min="13" max="13" width="9.5" customWidth="1"/>
    <col min="14" max="14" width="2.09765625" customWidth="1"/>
    <col min="15" max="19" width="9.09765625" customWidth="1"/>
    <col min="20" max="20" width="9.5" customWidth="1"/>
    <col min="21" max="21" width="2.09765625" customWidth="1"/>
  </cols>
  <sheetData>
    <row r="1" spans="1:21" ht="12" x14ac:dyDescent="0.3">
      <c r="A1" s="1" t="s">
        <v>0</v>
      </c>
    </row>
    <row r="2" spans="1:21" ht="12" x14ac:dyDescent="0.3">
      <c r="A2" s="1" t="s">
        <v>1</v>
      </c>
    </row>
    <row r="3" spans="1:21" ht="12" x14ac:dyDescent="0.3">
      <c r="A3" s="1" t="s">
        <v>2</v>
      </c>
    </row>
    <row r="4" spans="1:21" ht="12" x14ac:dyDescent="0.3">
      <c r="A4" s="2" t="s">
        <v>3</v>
      </c>
    </row>
    <row r="5" spans="1:21" ht="12" x14ac:dyDescent="0.3">
      <c r="A5" s="1" t="s">
        <v>521</v>
      </c>
    </row>
    <row r="6" spans="1:21" ht="12" x14ac:dyDescent="0.3">
      <c r="A6" s="2" t="s">
        <v>3</v>
      </c>
    </row>
    <row r="7" spans="1:21" ht="12" x14ac:dyDescent="0.3">
      <c r="A7" s="2" t="s">
        <v>3</v>
      </c>
    </row>
    <row r="8" spans="1:21" ht="12" x14ac:dyDescent="0.3">
      <c r="A8" s="2" t="s">
        <v>3</v>
      </c>
    </row>
    <row r="9" spans="1:21" ht="12" x14ac:dyDescent="0.3">
      <c r="A9" s="2" t="s">
        <v>3</v>
      </c>
    </row>
    <row r="10" spans="1:21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  <c r="M10" s="2" t="s">
        <v>3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 t="s">
        <v>3</v>
      </c>
      <c r="T10" s="2" t="s">
        <v>3</v>
      </c>
      <c r="U10" s="2" t="s">
        <v>3</v>
      </c>
    </row>
    <row r="11" spans="1:21" ht="12" x14ac:dyDescent="0.3">
      <c r="A11" s="2" t="s">
        <v>3</v>
      </c>
      <c r="B11" s="4">
        <v>2019</v>
      </c>
      <c r="H11" s="2" t="s">
        <v>3</v>
      </c>
      <c r="I11" s="4">
        <v>2018</v>
      </c>
      <c r="O11" s="2" t="s">
        <v>3</v>
      </c>
      <c r="P11" s="4">
        <v>2017</v>
      </c>
    </row>
    <row r="12" spans="1:21" ht="12" x14ac:dyDescent="0.3">
      <c r="A12" s="3" t="s">
        <v>533</v>
      </c>
      <c r="B12" s="7">
        <v>1001</v>
      </c>
      <c r="D12" s="2" t="s">
        <v>3</v>
      </c>
      <c r="E12" s="2" t="s">
        <v>3</v>
      </c>
      <c r="F12" s="6">
        <v>21</v>
      </c>
      <c r="G12" s="3" t="s">
        <v>291</v>
      </c>
      <c r="H12" s="2" t="s">
        <v>3</v>
      </c>
      <c r="I12" s="7">
        <v>1136</v>
      </c>
      <c r="K12" s="2" t="s">
        <v>3</v>
      </c>
      <c r="L12" s="2" t="s">
        <v>3</v>
      </c>
      <c r="M12" s="6">
        <v>25.6</v>
      </c>
      <c r="N12" s="3" t="s">
        <v>291</v>
      </c>
      <c r="O12" s="2" t="s">
        <v>3</v>
      </c>
      <c r="P12" s="7">
        <v>1414</v>
      </c>
      <c r="R12" s="2" t="s">
        <v>3</v>
      </c>
      <c r="S12" s="2" t="s">
        <v>3</v>
      </c>
      <c r="T12" s="6">
        <v>35</v>
      </c>
      <c r="U12" s="3" t="s">
        <v>291</v>
      </c>
    </row>
    <row r="13" spans="1:21" ht="12" x14ac:dyDescent="0.3">
      <c r="A13" s="3" t="s">
        <v>534</v>
      </c>
      <c r="B13" s="5">
        <v>171</v>
      </c>
      <c r="D13" s="2" t="s">
        <v>3</v>
      </c>
      <c r="E13" s="2" t="s">
        <v>3</v>
      </c>
      <c r="F13" s="6">
        <v>3.6</v>
      </c>
      <c r="G13" s="2" t="s">
        <v>3</v>
      </c>
      <c r="H13" s="2" t="s">
        <v>3</v>
      </c>
      <c r="I13" s="5">
        <v>154</v>
      </c>
      <c r="K13" s="2" t="s">
        <v>3</v>
      </c>
      <c r="L13" s="2" t="s">
        <v>3</v>
      </c>
      <c r="M13" s="6">
        <v>3.4</v>
      </c>
      <c r="N13" s="2" t="s">
        <v>3</v>
      </c>
      <c r="O13" s="2" t="s">
        <v>3</v>
      </c>
      <c r="P13" s="5">
        <v>116</v>
      </c>
      <c r="R13" s="2" t="s">
        <v>3</v>
      </c>
      <c r="S13" s="2" t="s">
        <v>3</v>
      </c>
      <c r="T13" s="6">
        <v>2.9</v>
      </c>
      <c r="U13" s="2" t="s">
        <v>3</v>
      </c>
    </row>
    <row r="14" spans="1:21" ht="12" x14ac:dyDescent="0.3">
      <c r="A14" s="3" t="s">
        <v>535</v>
      </c>
      <c r="B14" s="5">
        <v>-1</v>
      </c>
      <c r="D14" s="3" t="s">
        <v>3</v>
      </c>
      <c r="E14" s="2" t="s">
        <v>3</v>
      </c>
      <c r="F14" s="6">
        <v>0</v>
      </c>
      <c r="G14" s="2" t="s">
        <v>3</v>
      </c>
      <c r="H14" s="2" t="s">
        <v>3</v>
      </c>
      <c r="I14" s="5">
        <v>32</v>
      </c>
      <c r="K14" s="2" t="s">
        <v>3</v>
      </c>
      <c r="L14" s="2" t="s">
        <v>3</v>
      </c>
      <c r="M14" s="6">
        <v>0.7</v>
      </c>
      <c r="N14" s="2" t="s">
        <v>3</v>
      </c>
      <c r="O14" s="2" t="s">
        <v>3</v>
      </c>
      <c r="P14" s="5">
        <v>-64</v>
      </c>
      <c r="R14" s="3" t="s">
        <v>3</v>
      </c>
      <c r="S14" s="2" t="s">
        <v>3</v>
      </c>
      <c r="T14" s="6">
        <v>-1.6</v>
      </c>
      <c r="U14" s="3" t="s">
        <v>3</v>
      </c>
    </row>
    <row r="15" spans="1:21" ht="12" x14ac:dyDescent="0.3">
      <c r="A15" s="3" t="s">
        <v>536</v>
      </c>
      <c r="B15" s="5">
        <v>-18</v>
      </c>
      <c r="D15" s="3" t="s">
        <v>3</v>
      </c>
      <c r="E15" s="2" t="s">
        <v>3</v>
      </c>
      <c r="F15" s="6">
        <v>-0.4</v>
      </c>
      <c r="G15" s="3" t="s">
        <v>3</v>
      </c>
      <c r="H15" s="2" t="s">
        <v>3</v>
      </c>
      <c r="I15" s="5">
        <v>-14</v>
      </c>
      <c r="K15" s="3" t="s">
        <v>3</v>
      </c>
      <c r="L15" s="2" t="s">
        <v>3</v>
      </c>
      <c r="M15" s="6">
        <v>-0.3</v>
      </c>
      <c r="N15" s="3" t="s">
        <v>3</v>
      </c>
      <c r="O15" s="2" t="s">
        <v>3</v>
      </c>
      <c r="P15" s="5">
        <v>-104</v>
      </c>
      <c r="R15" s="3" t="s">
        <v>3</v>
      </c>
      <c r="S15" s="2" t="s">
        <v>3</v>
      </c>
      <c r="T15" s="6">
        <v>-2.6</v>
      </c>
      <c r="U15" s="3" t="s">
        <v>3</v>
      </c>
    </row>
    <row r="16" spans="1:21" ht="12" x14ac:dyDescent="0.3">
      <c r="A16" s="3" t="s">
        <v>537</v>
      </c>
      <c r="B16" s="5">
        <v>-123</v>
      </c>
      <c r="D16" s="3" t="s">
        <v>3</v>
      </c>
      <c r="E16" s="2" t="s">
        <v>3</v>
      </c>
      <c r="F16" s="6">
        <v>-2.6</v>
      </c>
      <c r="G16" s="3" t="s">
        <v>3</v>
      </c>
      <c r="H16" s="2" t="s">
        <v>3</v>
      </c>
      <c r="I16" s="5">
        <v>19</v>
      </c>
      <c r="K16" s="2" t="s">
        <v>3</v>
      </c>
      <c r="L16" s="2" t="s">
        <v>3</v>
      </c>
      <c r="M16" s="6">
        <v>0.4</v>
      </c>
      <c r="N16" s="2" t="s">
        <v>3</v>
      </c>
      <c r="O16" s="2" t="s">
        <v>3</v>
      </c>
      <c r="P16" s="3" t="s">
        <v>157</v>
      </c>
      <c r="R16" s="2" t="s">
        <v>3</v>
      </c>
      <c r="S16" s="2" t="s">
        <v>3</v>
      </c>
      <c r="T16" s="3" t="s">
        <v>157</v>
      </c>
      <c r="U16" s="2" t="s">
        <v>3</v>
      </c>
    </row>
    <row r="17" spans="1:21" ht="12" x14ac:dyDescent="0.3">
      <c r="A17" s="3" t="s">
        <v>242</v>
      </c>
      <c r="B17" s="5">
        <v>31</v>
      </c>
      <c r="D17" s="2" t="s">
        <v>3</v>
      </c>
      <c r="E17" s="2" t="s">
        <v>3</v>
      </c>
      <c r="F17" s="6">
        <v>0.7</v>
      </c>
      <c r="G17" s="2" t="s">
        <v>3</v>
      </c>
      <c r="H17" s="2" t="s">
        <v>3</v>
      </c>
      <c r="I17" s="5">
        <v>-64</v>
      </c>
      <c r="K17" s="3" t="s">
        <v>3</v>
      </c>
      <c r="L17" s="2" t="s">
        <v>3</v>
      </c>
      <c r="M17" s="6">
        <v>-1.4</v>
      </c>
      <c r="N17" s="3" t="s">
        <v>3</v>
      </c>
      <c r="O17" s="2" t="s">
        <v>3</v>
      </c>
      <c r="P17" s="5">
        <v>-37</v>
      </c>
      <c r="R17" s="3" t="s">
        <v>3</v>
      </c>
      <c r="S17" s="2" t="s">
        <v>3</v>
      </c>
      <c r="T17" s="6">
        <v>-0.9</v>
      </c>
      <c r="U17" s="3" t="s">
        <v>3</v>
      </c>
    </row>
    <row r="18" spans="1:21" ht="12" x14ac:dyDescent="0.3">
      <c r="A18" s="1" t="s">
        <v>146</v>
      </c>
      <c r="B18" s="7">
        <v>1061</v>
      </c>
      <c r="D18" s="2" t="s">
        <v>3</v>
      </c>
      <c r="E18" s="2" t="s">
        <v>3</v>
      </c>
      <c r="F18" s="6">
        <v>22.3</v>
      </c>
      <c r="G18" s="3" t="s">
        <v>291</v>
      </c>
      <c r="H18" s="2" t="s">
        <v>3</v>
      </c>
      <c r="I18" s="7">
        <v>1263</v>
      </c>
      <c r="K18" s="2" t="s">
        <v>3</v>
      </c>
      <c r="L18" s="2" t="s">
        <v>3</v>
      </c>
      <c r="M18" s="6">
        <v>28.4</v>
      </c>
      <c r="N18" s="3" t="s">
        <v>291</v>
      </c>
      <c r="O18" s="2" t="s">
        <v>3</v>
      </c>
      <c r="P18" s="7">
        <v>1325</v>
      </c>
      <c r="R18" s="2" t="s">
        <v>3</v>
      </c>
      <c r="S18" s="2" t="s">
        <v>3</v>
      </c>
      <c r="T18" s="6">
        <v>32.799999999999997</v>
      </c>
      <c r="U18" s="3" t="s">
        <v>291</v>
      </c>
    </row>
    <row r="19" spans="1:21" ht="12" x14ac:dyDescent="0.3">
      <c r="A19" s="2" t="s">
        <v>3</v>
      </c>
    </row>
    <row r="20" spans="1:21" ht="12" x14ac:dyDescent="0.3">
      <c r="A20" s="2" t="s">
        <v>3</v>
      </c>
    </row>
    <row r="21" spans="1:21" ht="12" x14ac:dyDescent="0.3">
      <c r="A21" s="1" t="s">
        <v>8</v>
      </c>
    </row>
    <row r="22" spans="1:21" ht="12" x14ac:dyDescent="0.3">
      <c r="A22" s="1" t="s">
        <v>9</v>
      </c>
    </row>
    <row r="23" spans="1:21" ht="12" x14ac:dyDescent="0.3">
      <c r="A23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H31"/>
  <sheetViews>
    <sheetView workbookViewId="0">
      <selection activeCell="H23" sqref="H23"/>
    </sheetView>
  </sheetViews>
  <sheetFormatPr defaultColWidth="10.3984375" defaultRowHeight="11.5" x14ac:dyDescent="0.25"/>
  <cols>
    <col min="1" max="1" width="53.296875" customWidth="1"/>
    <col min="2" max="8" width="9.09765625" customWidth="1"/>
  </cols>
  <sheetData>
    <row r="1" spans="1:8" ht="12" x14ac:dyDescent="0.3">
      <c r="A1" s="1" t="s">
        <v>0</v>
      </c>
    </row>
    <row r="2" spans="1:8" ht="12" x14ac:dyDescent="0.3">
      <c r="A2" s="1" t="s">
        <v>1</v>
      </c>
    </row>
    <row r="3" spans="1:8" ht="12" x14ac:dyDescent="0.3">
      <c r="A3" s="1" t="s">
        <v>2</v>
      </c>
    </row>
    <row r="4" spans="1:8" ht="12" x14ac:dyDescent="0.3">
      <c r="A4" s="2" t="s">
        <v>3</v>
      </c>
    </row>
    <row r="5" spans="1:8" ht="12" x14ac:dyDescent="0.3">
      <c r="A5" s="1" t="s">
        <v>521</v>
      </c>
    </row>
    <row r="6" spans="1:8" ht="12" x14ac:dyDescent="0.3">
      <c r="A6" s="2" t="s">
        <v>3</v>
      </c>
    </row>
    <row r="7" spans="1:8" ht="12" x14ac:dyDescent="0.3">
      <c r="A7" s="2" t="s">
        <v>3</v>
      </c>
    </row>
    <row r="8" spans="1:8" ht="12" x14ac:dyDescent="0.3">
      <c r="A8" s="2" t="s">
        <v>3</v>
      </c>
    </row>
    <row r="9" spans="1:8" ht="12" x14ac:dyDescent="0.3">
      <c r="A9" s="2" t="s">
        <v>3</v>
      </c>
    </row>
    <row r="10" spans="1:8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</row>
    <row r="11" spans="1:8" ht="12" x14ac:dyDescent="0.3">
      <c r="A11" s="2" t="s">
        <v>3</v>
      </c>
      <c r="B11" s="4">
        <v>2019</v>
      </c>
      <c r="E11" s="2" t="s">
        <v>3</v>
      </c>
      <c r="F11" s="4">
        <v>2018</v>
      </c>
    </row>
    <row r="12" spans="1:8" ht="12" x14ac:dyDescent="0.3">
      <c r="A12" s="3" t="s">
        <v>538</v>
      </c>
      <c r="B12" s="2" t="s">
        <v>3</v>
      </c>
      <c r="E12" s="2" t="s">
        <v>3</v>
      </c>
      <c r="F12" s="2" t="s">
        <v>3</v>
      </c>
    </row>
    <row r="13" spans="1:8" ht="12" x14ac:dyDescent="0.3">
      <c r="A13" s="3" t="s">
        <v>539</v>
      </c>
      <c r="B13" s="7">
        <v>74</v>
      </c>
      <c r="D13" s="2" t="s">
        <v>3</v>
      </c>
      <c r="E13" s="2" t="s">
        <v>3</v>
      </c>
      <c r="F13" s="7">
        <v>72</v>
      </c>
      <c r="H13" s="2" t="s">
        <v>3</v>
      </c>
    </row>
    <row r="14" spans="1:8" ht="12" x14ac:dyDescent="0.3">
      <c r="A14" s="3" t="s">
        <v>540</v>
      </c>
      <c r="B14" s="5">
        <v>180</v>
      </c>
      <c r="D14" s="2" t="s">
        <v>3</v>
      </c>
      <c r="E14" s="2" t="s">
        <v>3</v>
      </c>
      <c r="F14" s="5">
        <v>136</v>
      </c>
      <c r="H14" s="2" t="s">
        <v>3</v>
      </c>
    </row>
    <row r="15" spans="1:8" ht="12" x14ac:dyDescent="0.3">
      <c r="A15" s="3" t="s">
        <v>541</v>
      </c>
      <c r="B15" s="5">
        <v>65</v>
      </c>
      <c r="D15" s="2" t="s">
        <v>3</v>
      </c>
      <c r="E15" s="2" t="s">
        <v>3</v>
      </c>
      <c r="F15" s="3" t="s">
        <v>157</v>
      </c>
      <c r="H15" s="2" t="s">
        <v>3</v>
      </c>
    </row>
    <row r="16" spans="1:8" ht="12" x14ac:dyDescent="0.3">
      <c r="A16" s="3" t="s">
        <v>542</v>
      </c>
      <c r="B16" s="5">
        <v>566</v>
      </c>
      <c r="D16" s="2" t="s">
        <v>3</v>
      </c>
      <c r="E16" s="2" t="s">
        <v>3</v>
      </c>
      <c r="F16" s="5">
        <v>484</v>
      </c>
      <c r="H16" s="2" t="s">
        <v>3</v>
      </c>
    </row>
    <row r="17" spans="1:8" ht="12" x14ac:dyDescent="0.3">
      <c r="A17" s="1" t="s">
        <v>543</v>
      </c>
      <c r="B17" s="5">
        <v>885</v>
      </c>
      <c r="D17" s="2" t="s">
        <v>3</v>
      </c>
      <c r="E17" s="2" t="s">
        <v>3</v>
      </c>
      <c r="F17" s="5">
        <v>692</v>
      </c>
      <c r="H17" s="2" t="s">
        <v>3</v>
      </c>
    </row>
    <row r="18" spans="1:8" ht="12" x14ac:dyDescent="0.3">
      <c r="A18" s="3" t="s">
        <v>544</v>
      </c>
      <c r="B18" s="5">
        <v>-76</v>
      </c>
      <c r="D18" s="3" t="s">
        <v>3</v>
      </c>
      <c r="E18" s="2" t="s">
        <v>3</v>
      </c>
      <c r="F18" s="3" t="s">
        <v>157</v>
      </c>
      <c r="H18" s="2" t="s">
        <v>3</v>
      </c>
    </row>
    <row r="19" spans="1:8" ht="12" x14ac:dyDescent="0.3">
      <c r="A19" s="1" t="s">
        <v>545</v>
      </c>
      <c r="B19" s="5">
        <v>809</v>
      </c>
      <c r="D19" s="2" t="s">
        <v>3</v>
      </c>
      <c r="E19" s="2" t="s">
        <v>3</v>
      </c>
      <c r="F19" s="5">
        <v>692</v>
      </c>
      <c r="H19" s="2" t="s">
        <v>3</v>
      </c>
    </row>
    <row r="20" spans="1:8" ht="12" x14ac:dyDescent="0.3">
      <c r="A20" s="3" t="s">
        <v>546</v>
      </c>
      <c r="B20" s="2" t="s">
        <v>3</v>
      </c>
      <c r="E20" s="2" t="s">
        <v>3</v>
      </c>
      <c r="F20" s="2" t="s">
        <v>3</v>
      </c>
    </row>
    <row r="21" spans="1:8" ht="12" x14ac:dyDescent="0.3">
      <c r="A21" s="3" t="s">
        <v>547</v>
      </c>
      <c r="B21" s="5">
        <v>-677</v>
      </c>
      <c r="D21" s="3" t="s">
        <v>3</v>
      </c>
      <c r="E21" s="2" t="s">
        <v>3</v>
      </c>
      <c r="F21" s="5">
        <v>-478</v>
      </c>
      <c r="H21" s="3" t="s">
        <v>3</v>
      </c>
    </row>
    <row r="22" spans="1:8" ht="12" x14ac:dyDescent="0.3">
      <c r="A22" s="3" t="s">
        <v>195</v>
      </c>
      <c r="B22" s="5">
        <v>-187</v>
      </c>
      <c r="D22" s="3" t="s">
        <v>3</v>
      </c>
      <c r="E22" s="2" t="s">
        <v>3</v>
      </c>
      <c r="F22" s="5">
        <v>-175</v>
      </c>
      <c r="H22" s="3" t="s">
        <v>3</v>
      </c>
    </row>
    <row r="23" spans="1:8" ht="12" x14ac:dyDescent="0.3">
      <c r="A23" s="3" t="s">
        <v>548</v>
      </c>
      <c r="B23" s="5">
        <v>-69</v>
      </c>
      <c r="D23" s="3" t="s">
        <v>3</v>
      </c>
      <c r="E23" s="2" t="s">
        <v>3</v>
      </c>
      <c r="F23" s="3" t="s">
        <v>157</v>
      </c>
      <c r="H23" s="2" t="s">
        <v>3</v>
      </c>
    </row>
    <row r="24" spans="1:8" ht="12" x14ac:dyDescent="0.3">
      <c r="A24" s="3" t="s">
        <v>242</v>
      </c>
      <c r="B24" s="5">
        <v>-21</v>
      </c>
      <c r="D24" s="3" t="s">
        <v>3</v>
      </c>
      <c r="E24" s="2" t="s">
        <v>3</v>
      </c>
      <c r="F24" s="5">
        <v>-40</v>
      </c>
      <c r="H24" s="3" t="s">
        <v>3</v>
      </c>
    </row>
    <row r="25" spans="1:8" ht="12" x14ac:dyDescent="0.3">
      <c r="A25" s="1" t="s">
        <v>549</v>
      </c>
      <c r="B25" s="7">
        <v>-954</v>
      </c>
      <c r="D25" s="3" t="s">
        <v>3</v>
      </c>
      <c r="E25" s="2" t="s">
        <v>3</v>
      </c>
      <c r="F25" s="7">
        <v>-693</v>
      </c>
      <c r="H25" s="3" t="s">
        <v>3</v>
      </c>
    </row>
    <row r="26" spans="1:8" ht="12" x14ac:dyDescent="0.3">
      <c r="A26" s="3" t="s">
        <v>550</v>
      </c>
      <c r="B26" s="7">
        <v>-145</v>
      </c>
      <c r="D26" s="3" t="s">
        <v>3</v>
      </c>
      <c r="E26" s="2" t="s">
        <v>3</v>
      </c>
      <c r="F26" s="7">
        <v>-1</v>
      </c>
      <c r="H26" s="3" t="s">
        <v>3</v>
      </c>
    </row>
    <row r="27" spans="1:8" ht="12" x14ac:dyDescent="0.3">
      <c r="A27" s="2" t="s">
        <v>3</v>
      </c>
    </row>
    <row r="28" spans="1:8" ht="12" x14ac:dyDescent="0.3">
      <c r="A28" s="2" t="s">
        <v>3</v>
      </c>
    </row>
    <row r="29" spans="1:8" ht="12" x14ac:dyDescent="0.3">
      <c r="A29" s="1" t="s">
        <v>8</v>
      </c>
    </row>
    <row r="30" spans="1:8" ht="12" x14ac:dyDescent="0.3">
      <c r="A30" s="1" t="s">
        <v>9</v>
      </c>
    </row>
    <row r="31" spans="1:8" ht="12" x14ac:dyDescent="0.3">
      <c r="A31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H26"/>
  <sheetViews>
    <sheetView workbookViewId="0">
      <selection activeCell="H23" sqref="H23"/>
    </sheetView>
  </sheetViews>
  <sheetFormatPr defaultColWidth="10.3984375" defaultRowHeight="11.5" x14ac:dyDescent="0.25"/>
  <cols>
    <col min="1" max="1" width="52.09765625" customWidth="1"/>
    <col min="2" max="8" width="9.09765625" customWidth="1"/>
  </cols>
  <sheetData>
    <row r="1" spans="1:8" ht="12" x14ac:dyDescent="0.3">
      <c r="A1" s="1" t="s">
        <v>0</v>
      </c>
    </row>
    <row r="2" spans="1:8" ht="12" x14ac:dyDescent="0.3">
      <c r="A2" s="1" t="s">
        <v>1</v>
      </c>
    </row>
    <row r="3" spans="1:8" ht="12" x14ac:dyDescent="0.3">
      <c r="A3" s="1" t="s">
        <v>2</v>
      </c>
    </row>
    <row r="4" spans="1:8" ht="12" x14ac:dyDescent="0.3">
      <c r="A4" s="2" t="s">
        <v>3</v>
      </c>
    </row>
    <row r="5" spans="1:8" ht="12" x14ac:dyDescent="0.3">
      <c r="A5" s="1" t="s">
        <v>521</v>
      </c>
    </row>
    <row r="6" spans="1:8" ht="12" x14ac:dyDescent="0.3">
      <c r="A6" s="2" t="s">
        <v>3</v>
      </c>
    </row>
    <row r="7" spans="1:8" ht="12" x14ac:dyDescent="0.3">
      <c r="A7" s="2" t="s">
        <v>3</v>
      </c>
    </row>
    <row r="8" spans="1:8" ht="12" x14ac:dyDescent="0.3">
      <c r="A8" s="2" t="s">
        <v>3</v>
      </c>
    </row>
    <row r="9" spans="1:8" ht="12" x14ac:dyDescent="0.3">
      <c r="A9" s="2" t="s">
        <v>3</v>
      </c>
    </row>
    <row r="10" spans="1:8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</row>
    <row r="11" spans="1:8" ht="12" x14ac:dyDescent="0.3">
      <c r="A11" s="2" t="s">
        <v>3</v>
      </c>
      <c r="B11" s="4">
        <v>2019</v>
      </c>
      <c r="E11" s="2" t="s">
        <v>3</v>
      </c>
      <c r="F11" s="4">
        <v>2018</v>
      </c>
    </row>
    <row r="12" spans="1:8" ht="12" x14ac:dyDescent="0.3">
      <c r="A12" s="3" t="s">
        <v>551</v>
      </c>
      <c r="B12" s="7">
        <v>36</v>
      </c>
      <c r="D12" s="2" t="s">
        <v>3</v>
      </c>
      <c r="E12" s="2" t="s">
        <v>3</v>
      </c>
      <c r="F12" s="7">
        <v>52</v>
      </c>
      <c r="H12" s="2" t="s">
        <v>3</v>
      </c>
    </row>
    <row r="13" spans="1:8" ht="12" x14ac:dyDescent="0.3">
      <c r="A13" s="3" t="s">
        <v>552</v>
      </c>
    </row>
    <row r="14" spans="1:8" ht="12" x14ac:dyDescent="0.3">
      <c r="A14" s="3" t="s">
        <v>553</v>
      </c>
      <c r="B14" s="5">
        <v>5</v>
      </c>
      <c r="D14" s="2" t="s">
        <v>3</v>
      </c>
      <c r="E14" s="2" t="s">
        <v>3</v>
      </c>
      <c r="F14" s="5">
        <v>6</v>
      </c>
      <c r="H14" s="2" t="s">
        <v>3</v>
      </c>
    </row>
    <row r="15" spans="1:8" ht="12" x14ac:dyDescent="0.3">
      <c r="A15" s="3" t="s">
        <v>554</v>
      </c>
      <c r="B15" s="5">
        <v>2</v>
      </c>
      <c r="D15" s="2" t="s">
        <v>3</v>
      </c>
      <c r="E15" s="2" t="s">
        <v>3</v>
      </c>
      <c r="F15" s="5">
        <v>6</v>
      </c>
      <c r="H15" s="2" t="s">
        <v>3</v>
      </c>
    </row>
    <row r="16" spans="1:8" ht="12" x14ac:dyDescent="0.3">
      <c r="A16" s="3" t="s">
        <v>555</v>
      </c>
    </row>
    <row r="17" spans="1:8" ht="12" x14ac:dyDescent="0.3">
      <c r="A17" s="3" t="s">
        <v>556</v>
      </c>
      <c r="B17" s="5">
        <v>0</v>
      </c>
      <c r="D17" s="2" t="s">
        <v>3</v>
      </c>
      <c r="E17" s="2" t="s">
        <v>3</v>
      </c>
      <c r="F17" s="5">
        <v>-17</v>
      </c>
      <c r="H17" s="3" t="s">
        <v>3</v>
      </c>
    </row>
    <row r="18" spans="1:8" ht="12" x14ac:dyDescent="0.3">
      <c r="A18" s="3" t="s">
        <v>555</v>
      </c>
    </row>
    <row r="19" spans="1:8" ht="12" x14ac:dyDescent="0.3">
      <c r="A19" s="3" t="s">
        <v>557</v>
      </c>
      <c r="B19" s="5">
        <v>-4</v>
      </c>
      <c r="D19" s="3" t="s">
        <v>3</v>
      </c>
      <c r="E19" s="2" t="s">
        <v>3</v>
      </c>
      <c r="F19" s="5">
        <v>-1</v>
      </c>
      <c r="H19" s="3" t="s">
        <v>3</v>
      </c>
    </row>
    <row r="20" spans="1:8" ht="12" x14ac:dyDescent="0.3">
      <c r="A20" s="3" t="s">
        <v>558</v>
      </c>
      <c r="B20" s="5">
        <v>-12</v>
      </c>
      <c r="D20" s="3" t="s">
        <v>3</v>
      </c>
      <c r="E20" s="2" t="s">
        <v>3</v>
      </c>
      <c r="F20" s="5">
        <v>-10</v>
      </c>
      <c r="H20" s="3" t="s">
        <v>3</v>
      </c>
    </row>
    <row r="21" spans="1:8" ht="12" x14ac:dyDescent="0.3">
      <c r="A21" s="3" t="s">
        <v>559</v>
      </c>
      <c r="B21" s="7">
        <v>27</v>
      </c>
      <c r="D21" s="2" t="s">
        <v>3</v>
      </c>
      <c r="E21" s="2" t="s">
        <v>3</v>
      </c>
      <c r="F21" s="7">
        <v>36</v>
      </c>
      <c r="H21" s="2" t="s">
        <v>3</v>
      </c>
    </row>
    <row r="22" spans="1:8" ht="12" x14ac:dyDescent="0.3">
      <c r="A22" s="3" t="s">
        <v>560</v>
      </c>
    </row>
    <row r="23" spans="1:8" ht="12" x14ac:dyDescent="0.3">
      <c r="A23" s="2" t="s">
        <v>3</v>
      </c>
    </row>
    <row r="24" spans="1:8" ht="12" x14ac:dyDescent="0.3">
      <c r="A24" s="1" t="s">
        <v>8</v>
      </c>
    </row>
    <row r="25" spans="1:8" ht="12" x14ac:dyDescent="0.3">
      <c r="A25" s="1" t="s">
        <v>9</v>
      </c>
    </row>
    <row r="26" spans="1:8" ht="12" x14ac:dyDescent="0.3">
      <c r="A26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L20"/>
  <sheetViews>
    <sheetView workbookViewId="0">
      <selection activeCell="H23" sqref="H23"/>
    </sheetView>
  </sheetViews>
  <sheetFormatPr defaultColWidth="10.3984375" defaultRowHeight="11.5" x14ac:dyDescent="0.25"/>
  <cols>
    <col min="1" max="1" width="40.19921875" customWidth="1"/>
    <col min="2" max="12" width="9.09765625" customWidth="1"/>
  </cols>
  <sheetData>
    <row r="1" spans="1:12" ht="12" x14ac:dyDescent="0.3">
      <c r="A1" s="1" t="s">
        <v>0</v>
      </c>
    </row>
    <row r="2" spans="1:12" ht="12" x14ac:dyDescent="0.3">
      <c r="A2" s="1" t="s">
        <v>1</v>
      </c>
    </row>
    <row r="3" spans="1:12" ht="12" x14ac:dyDescent="0.3">
      <c r="A3" s="1" t="s">
        <v>2</v>
      </c>
    </row>
    <row r="4" spans="1:12" ht="12" x14ac:dyDescent="0.3">
      <c r="A4" s="2" t="s">
        <v>3</v>
      </c>
    </row>
    <row r="5" spans="1:12" ht="12" x14ac:dyDescent="0.3">
      <c r="A5" s="1" t="s">
        <v>561</v>
      </c>
    </row>
    <row r="6" spans="1:12" ht="12" x14ac:dyDescent="0.3">
      <c r="A6" s="2" t="s">
        <v>3</v>
      </c>
    </row>
    <row r="7" spans="1:12" ht="12" x14ac:dyDescent="0.3">
      <c r="A7" s="2" t="s">
        <v>3</v>
      </c>
    </row>
    <row r="8" spans="1:12" ht="12" x14ac:dyDescent="0.3">
      <c r="A8" s="2" t="s">
        <v>3</v>
      </c>
    </row>
    <row r="9" spans="1:12" ht="12" x14ac:dyDescent="0.3">
      <c r="A9" s="2" t="s">
        <v>3</v>
      </c>
    </row>
    <row r="10" spans="1:12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</row>
    <row r="11" spans="1:12" ht="12" x14ac:dyDescent="0.3">
      <c r="A11" s="2" t="s">
        <v>3</v>
      </c>
      <c r="B11" s="4">
        <v>2019</v>
      </c>
      <c r="E11" s="2" t="s">
        <v>3</v>
      </c>
      <c r="F11" s="4">
        <v>2018</v>
      </c>
      <c r="I11" s="2" t="s">
        <v>3</v>
      </c>
      <c r="J11" s="4">
        <v>2017</v>
      </c>
    </row>
    <row r="12" spans="1:12" ht="12" x14ac:dyDescent="0.3">
      <c r="A12" s="3" t="s">
        <v>294</v>
      </c>
      <c r="B12" s="7">
        <v>3659</v>
      </c>
      <c r="D12" s="2" t="s">
        <v>3</v>
      </c>
      <c r="E12" s="2" t="s">
        <v>3</v>
      </c>
      <c r="F12" s="7">
        <v>3134</v>
      </c>
      <c r="H12" s="2" t="s">
        <v>3</v>
      </c>
      <c r="I12" s="2" t="s">
        <v>3</v>
      </c>
      <c r="J12" s="7">
        <v>2679</v>
      </c>
      <c r="L12" s="2" t="s">
        <v>3</v>
      </c>
    </row>
    <row r="13" spans="1:12" ht="12" x14ac:dyDescent="0.3">
      <c r="A13" s="3" t="s">
        <v>562</v>
      </c>
      <c r="B13" s="5">
        <v>439755</v>
      </c>
      <c r="D13" s="2" t="s">
        <v>3</v>
      </c>
      <c r="E13" s="2" t="s">
        <v>3</v>
      </c>
      <c r="F13" s="5">
        <v>438515</v>
      </c>
      <c r="H13" s="2" t="s">
        <v>3</v>
      </c>
      <c r="I13" s="2" t="s">
        <v>3</v>
      </c>
      <c r="J13" s="5">
        <v>438437</v>
      </c>
      <c r="L13" s="2" t="s">
        <v>3</v>
      </c>
    </row>
    <row r="14" spans="1:12" ht="12" x14ac:dyDescent="0.3">
      <c r="A14" s="3" t="s">
        <v>563</v>
      </c>
      <c r="B14" s="5">
        <v>3168</v>
      </c>
      <c r="D14" s="2" t="s">
        <v>3</v>
      </c>
      <c r="E14" s="2" t="s">
        <v>3</v>
      </c>
      <c r="F14" s="5">
        <v>3319</v>
      </c>
      <c r="H14" s="2" t="s">
        <v>3</v>
      </c>
      <c r="I14" s="2" t="s">
        <v>3</v>
      </c>
      <c r="J14" s="5">
        <v>2500</v>
      </c>
      <c r="L14" s="2" t="s">
        <v>3</v>
      </c>
    </row>
    <row r="15" spans="1:12" ht="12" x14ac:dyDescent="0.3">
      <c r="A15" s="3" t="s">
        <v>564</v>
      </c>
      <c r="B15" s="5">
        <v>442923</v>
      </c>
      <c r="D15" s="2" t="s">
        <v>3</v>
      </c>
      <c r="E15" s="2" t="s">
        <v>3</v>
      </c>
      <c r="F15" s="5">
        <v>441834</v>
      </c>
      <c r="H15" s="2" t="s">
        <v>3</v>
      </c>
      <c r="I15" s="2" t="s">
        <v>3</v>
      </c>
      <c r="J15" s="5">
        <v>440937</v>
      </c>
      <c r="L15" s="2" t="s">
        <v>3</v>
      </c>
    </row>
    <row r="16" spans="1:12" ht="12" x14ac:dyDescent="0.3">
      <c r="A16" s="2" t="s">
        <v>3</v>
      </c>
    </row>
    <row r="17" spans="1:1" ht="12" x14ac:dyDescent="0.3">
      <c r="A17" s="2" t="s">
        <v>3</v>
      </c>
    </row>
    <row r="18" spans="1:1" ht="12" x14ac:dyDescent="0.3">
      <c r="A18" s="1" t="s">
        <v>8</v>
      </c>
    </row>
    <row r="19" spans="1:1" ht="12" x14ac:dyDescent="0.3">
      <c r="A19" s="1" t="s">
        <v>9</v>
      </c>
    </row>
    <row r="20" spans="1:1" ht="12" x14ac:dyDescent="0.3">
      <c r="A20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P39"/>
  <sheetViews>
    <sheetView workbookViewId="0">
      <selection activeCell="H23" sqref="H23"/>
    </sheetView>
  </sheetViews>
  <sheetFormatPr defaultColWidth="10.3984375" defaultRowHeight="11.5" x14ac:dyDescent="0.25"/>
  <cols>
    <col min="1" max="1" width="42.59765625" customWidth="1"/>
    <col min="2" max="16" width="9.09765625" customWidth="1"/>
  </cols>
  <sheetData>
    <row r="1" spans="1:16" ht="12" x14ac:dyDescent="0.3">
      <c r="A1" s="1" t="s">
        <v>0</v>
      </c>
    </row>
    <row r="2" spans="1:16" ht="12" x14ac:dyDescent="0.3">
      <c r="A2" s="1" t="s">
        <v>1</v>
      </c>
    </row>
    <row r="3" spans="1:16" ht="12" x14ac:dyDescent="0.3">
      <c r="A3" s="1" t="s">
        <v>2</v>
      </c>
    </row>
    <row r="4" spans="1:16" ht="12" x14ac:dyDescent="0.3">
      <c r="A4" s="2" t="s">
        <v>3</v>
      </c>
    </row>
    <row r="5" spans="1:16" ht="12" x14ac:dyDescent="0.3">
      <c r="A5" s="1" t="s">
        <v>565</v>
      </c>
    </row>
    <row r="6" spans="1:16" ht="12" x14ac:dyDescent="0.3">
      <c r="A6" s="2" t="s">
        <v>3</v>
      </c>
    </row>
    <row r="7" spans="1:16" ht="12" x14ac:dyDescent="0.3">
      <c r="A7" s="2" t="s">
        <v>3</v>
      </c>
    </row>
    <row r="8" spans="1:16" ht="12" x14ac:dyDescent="0.3">
      <c r="A8" s="2" t="s">
        <v>3</v>
      </c>
    </row>
    <row r="9" spans="1:16" ht="12" x14ac:dyDescent="0.3">
      <c r="A9" s="2" t="s">
        <v>3</v>
      </c>
    </row>
    <row r="10" spans="1:16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  <c r="M10" s="2" t="s">
        <v>3</v>
      </c>
      <c r="N10" s="2" t="s">
        <v>3</v>
      </c>
      <c r="O10" s="2" t="s">
        <v>3</v>
      </c>
      <c r="P10" s="2" t="s">
        <v>3</v>
      </c>
    </row>
    <row r="11" spans="1:16" ht="12" x14ac:dyDescent="0.3">
      <c r="A11" s="2" t="s">
        <v>3</v>
      </c>
      <c r="B11" s="3" t="s">
        <v>262</v>
      </c>
      <c r="E11" s="2" t="s">
        <v>3</v>
      </c>
      <c r="F11" s="3" t="s">
        <v>566</v>
      </c>
      <c r="I11" s="2" t="s">
        <v>3</v>
      </c>
      <c r="J11" s="3" t="s">
        <v>242</v>
      </c>
      <c r="M11" s="2" t="s">
        <v>3</v>
      </c>
      <c r="N11" s="3" t="s">
        <v>146</v>
      </c>
    </row>
    <row r="12" spans="1:16" ht="12" x14ac:dyDescent="0.3">
      <c r="A12" s="2" t="s">
        <v>3</v>
      </c>
      <c r="B12" s="3" t="s">
        <v>567</v>
      </c>
      <c r="E12" s="2" t="s">
        <v>3</v>
      </c>
      <c r="F12" s="3" t="s">
        <v>567</v>
      </c>
      <c r="I12" s="2" t="s">
        <v>3</v>
      </c>
      <c r="J12" s="3" t="s">
        <v>264</v>
      </c>
    </row>
    <row r="13" spans="1:16" ht="12" x14ac:dyDescent="0.3">
      <c r="A13" s="2" t="s">
        <v>3</v>
      </c>
      <c r="B13" s="2" t="s">
        <v>3</v>
      </c>
      <c r="C13" s="2" t="s">
        <v>3</v>
      </c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3" t="s">
        <v>567</v>
      </c>
    </row>
    <row r="14" spans="1:16" ht="12" x14ac:dyDescent="0.3">
      <c r="A14" s="4">
        <v>2019</v>
      </c>
      <c r="B14" s="2" t="s">
        <v>3</v>
      </c>
      <c r="E14" s="2" t="s">
        <v>3</v>
      </c>
      <c r="F14" s="2" t="s">
        <v>3</v>
      </c>
      <c r="I14" s="2" t="s">
        <v>3</v>
      </c>
      <c r="J14" s="2" t="s">
        <v>3</v>
      </c>
      <c r="M14" s="2" t="s">
        <v>3</v>
      </c>
      <c r="N14" s="2" t="s">
        <v>3</v>
      </c>
    </row>
    <row r="15" spans="1:16" ht="12" x14ac:dyDescent="0.3">
      <c r="A15" s="1" t="s">
        <v>238</v>
      </c>
      <c r="B15" s="7">
        <v>111751</v>
      </c>
      <c r="D15" s="2" t="s">
        <v>3</v>
      </c>
      <c r="E15" s="2" t="s">
        <v>3</v>
      </c>
      <c r="F15" s="7">
        <v>21366</v>
      </c>
      <c r="H15" s="2" t="s">
        <v>3</v>
      </c>
      <c r="I15" s="2" t="s">
        <v>3</v>
      </c>
      <c r="J15" s="7">
        <v>19586</v>
      </c>
      <c r="L15" s="2" t="s">
        <v>3</v>
      </c>
      <c r="M15" s="2" t="s">
        <v>3</v>
      </c>
      <c r="N15" s="7">
        <v>152703</v>
      </c>
      <c r="P15" s="2" t="s">
        <v>3</v>
      </c>
    </row>
    <row r="16" spans="1:16" ht="12" x14ac:dyDescent="0.3">
      <c r="A16" s="3" t="s">
        <v>246</v>
      </c>
      <c r="B16" s="5">
        <v>3063</v>
      </c>
      <c r="D16" s="2" t="s">
        <v>3</v>
      </c>
      <c r="E16" s="2" t="s">
        <v>3</v>
      </c>
      <c r="F16" s="5">
        <v>924</v>
      </c>
      <c r="H16" s="2" t="s">
        <v>3</v>
      </c>
      <c r="I16" s="2" t="s">
        <v>3</v>
      </c>
      <c r="J16" s="5">
        <v>750</v>
      </c>
      <c r="L16" s="2" t="s">
        <v>3</v>
      </c>
      <c r="M16" s="2" t="s">
        <v>3</v>
      </c>
      <c r="N16" s="5">
        <v>4737</v>
      </c>
      <c r="P16" s="2" t="s">
        <v>3</v>
      </c>
    </row>
    <row r="17" spans="1:16" ht="12" x14ac:dyDescent="0.3">
      <c r="A17" s="3" t="s">
        <v>404</v>
      </c>
      <c r="B17" s="5">
        <v>1126</v>
      </c>
      <c r="D17" s="2" t="s">
        <v>3</v>
      </c>
      <c r="E17" s="2" t="s">
        <v>3</v>
      </c>
      <c r="F17" s="5">
        <v>143</v>
      </c>
      <c r="H17" s="2" t="s">
        <v>3</v>
      </c>
      <c r="I17" s="2" t="s">
        <v>3</v>
      </c>
      <c r="J17" s="5">
        <v>223</v>
      </c>
      <c r="L17" s="2" t="s">
        <v>3</v>
      </c>
      <c r="M17" s="2" t="s">
        <v>3</v>
      </c>
      <c r="N17" s="5">
        <v>1492</v>
      </c>
      <c r="P17" s="2" t="s">
        <v>3</v>
      </c>
    </row>
    <row r="18" spans="1:16" ht="12" x14ac:dyDescent="0.3">
      <c r="A18" s="3" t="s">
        <v>412</v>
      </c>
      <c r="B18" s="5">
        <v>2186</v>
      </c>
      <c r="D18" s="2" t="s">
        <v>3</v>
      </c>
      <c r="E18" s="2" t="s">
        <v>3</v>
      </c>
      <c r="F18" s="5">
        <v>303</v>
      </c>
      <c r="H18" s="2" t="s">
        <v>3</v>
      </c>
      <c r="I18" s="2" t="s">
        <v>3</v>
      </c>
      <c r="J18" s="5">
        <v>509</v>
      </c>
      <c r="L18" s="2" t="s">
        <v>3</v>
      </c>
      <c r="M18" s="2" t="s">
        <v>3</v>
      </c>
      <c r="N18" s="5">
        <v>2998</v>
      </c>
      <c r="P18" s="2" t="s">
        <v>3</v>
      </c>
    </row>
    <row r="19" spans="1:16" ht="12" x14ac:dyDescent="0.3">
      <c r="A19" s="3" t="s">
        <v>219</v>
      </c>
      <c r="B19" s="5">
        <v>14367</v>
      </c>
      <c r="D19" s="2" t="s">
        <v>3</v>
      </c>
      <c r="E19" s="2" t="s">
        <v>3</v>
      </c>
      <c r="F19" s="5">
        <v>2044</v>
      </c>
      <c r="H19" s="2" t="s">
        <v>3</v>
      </c>
      <c r="I19" s="2" t="s">
        <v>3</v>
      </c>
      <c r="J19" s="5">
        <v>4479</v>
      </c>
      <c r="L19" s="2" t="s">
        <v>3</v>
      </c>
      <c r="M19" s="2" t="s">
        <v>3</v>
      </c>
      <c r="N19" s="5">
        <v>20890</v>
      </c>
      <c r="P19" s="2" t="s">
        <v>3</v>
      </c>
    </row>
    <row r="20" spans="1:16" ht="12" x14ac:dyDescent="0.3">
      <c r="A20" s="1" t="s">
        <v>304</v>
      </c>
      <c r="B20" s="5">
        <v>32162</v>
      </c>
      <c r="D20" s="2" t="s">
        <v>3</v>
      </c>
      <c r="E20" s="2" t="s">
        <v>3</v>
      </c>
      <c r="F20" s="5">
        <v>4369</v>
      </c>
      <c r="H20" s="2" t="s">
        <v>3</v>
      </c>
      <c r="I20" s="2" t="s">
        <v>3</v>
      </c>
      <c r="J20" s="5">
        <v>8869</v>
      </c>
      <c r="L20" s="2" t="s">
        <v>3</v>
      </c>
      <c r="M20" s="2" t="s">
        <v>3</v>
      </c>
      <c r="N20" s="5">
        <v>45400</v>
      </c>
      <c r="P20" s="2" t="s">
        <v>3</v>
      </c>
    </row>
    <row r="21" spans="1:16" ht="12" x14ac:dyDescent="0.3">
      <c r="A21" s="4">
        <v>2018</v>
      </c>
      <c r="B21" s="2" t="s">
        <v>3</v>
      </c>
      <c r="E21" s="2" t="s">
        <v>3</v>
      </c>
      <c r="F21" s="2" t="s">
        <v>3</v>
      </c>
      <c r="I21" s="2" t="s">
        <v>3</v>
      </c>
      <c r="J21" s="2" t="s">
        <v>3</v>
      </c>
      <c r="M21" s="2" t="s">
        <v>3</v>
      </c>
      <c r="N21" s="2" t="s">
        <v>3</v>
      </c>
    </row>
    <row r="22" spans="1:16" ht="12" x14ac:dyDescent="0.3">
      <c r="A22" s="1" t="s">
        <v>238</v>
      </c>
      <c r="B22" s="7">
        <v>102286</v>
      </c>
      <c r="D22" s="2" t="s">
        <v>3</v>
      </c>
      <c r="E22" s="2" t="s">
        <v>3</v>
      </c>
      <c r="F22" s="7">
        <v>20689</v>
      </c>
      <c r="H22" s="2" t="s">
        <v>3</v>
      </c>
      <c r="I22" s="2" t="s">
        <v>3</v>
      </c>
      <c r="J22" s="7">
        <v>18601</v>
      </c>
      <c r="L22" s="2" t="s">
        <v>3</v>
      </c>
      <c r="M22" s="2" t="s">
        <v>3</v>
      </c>
      <c r="N22" s="7">
        <v>141576</v>
      </c>
      <c r="P22" s="2" t="s">
        <v>3</v>
      </c>
    </row>
    <row r="23" spans="1:16" ht="12" x14ac:dyDescent="0.3">
      <c r="A23" s="3" t="s">
        <v>246</v>
      </c>
      <c r="B23" s="5">
        <v>2787</v>
      </c>
      <c r="D23" s="2" t="s">
        <v>3</v>
      </c>
      <c r="E23" s="2" t="s">
        <v>3</v>
      </c>
      <c r="F23" s="5">
        <v>939</v>
      </c>
      <c r="H23" s="2" t="s">
        <v>3</v>
      </c>
      <c r="I23" s="2" t="s">
        <v>3</v>
      </c>
      <c r="J23" s="5">
        <v>754</v>
      </c>
      <c r="L23" s="2" t="s">
        <v>3</v>
      </c>
      <c r="M23" s="2" t="s">
        <v>3</v>
      </c>
      <c r="N23" s="5">
        <v>4480</v>
      </c>
      <c r="P23" s="2" t="s">
        <v>3</v>
      </c>
    </row>
    <row r="24" spans="1:16" ht="12" x14ac:dyDescent="0.3">
      <c r="A24" s="3" t="s">
        <v>404</v>
      </c>
      <c r="B24" s="5">
        <v>1078</v>
      </c>
      <c r="D24" s="2" t="s">
        <v>3</v>
      </c>
      <c r="E24" s="2" t="s">
        <v>3</v>
      </c>
      <c r="F24" s="5">
        <v>135</v>
      </c>
      <c r="H24" s="2" t="s">
        <v>3</v>
      </c>
      <c r="I24" s="2" t="s">
        <v>3</v>
      </c>
      <c r="J24" s="5">
        <v>224</v>
      </c>
      <c r="L24" s="2" t="s">
        <v>3</v>
      </c>
      <c r="M24" s="2" t="s">
        <v>3</v>
      </c>
      <c r="N24" s="5">
        <v>1437</v>
      </c>
      <c r="P24" s="2" t="s">
        <v>3</v>
      </c>
    </row>
    <row r="25" spans="1:16" ht="12" x14ac:dyDescent="0.3">
      <c r="A25" s="3" t="s">
        <v>412</v>
      </c>
      <c r="B25" s="5">
        <v>2046</v>
      </c>
      <c r="D25" s="2" t="s">
        <v>3</v>
      </c>
      <c r="E25" s="2" t="s">
        <v>3</v>
      </c>
      <c r="F25" s="5">
        <v>268</v>
      </c>
      <c r="H25" s="2" t="s">
        <v>3</v>
      </c>
      <c r="I25" s="2" t="s">
        <v>3</v>
      </c>
      <c r="J25" s="5">
        <v>655</v>
      </c>
      <c r="L25" s="2" t="s">
        <v>3</v>
      </c>
      <c r="M25" s="2" t="s">
        <v>3</v>
      </c>
      <c r="N25" s="5">
        <v>2969</v>
      </c>
      <c r="P25" s="2" t="s">
        <v>3</v>
      </c>
    </row>
    <row r="26" spans="1:16" ht="12" x14ac:dyDescent="0.3">
      <c r="A26" s="3" t="s">
        <v>219</v>
      </c>
      <c r="B26" s="5">
        <v>13353</v>
      </c>
      <c r="D26" s="2" t="s">
        <v>3</v>
      </c>
      <c r="E26" s="2" t="s">
        <v>3</v>
      </c>
      <c r="F26" s="5">
        <v>1900</v>
      </c>
      <c r="H26" s="2" t="s">
        <v>3</v>
      </c>
      <c r="I26" s="2" t="s">
        <v>3</v>
      </c>
      <c r="J26" s="5">
        <v>4428</v>
      </c>
      <c r="L26" s="2" t="s">
        <v>3</v>
      </c>
      <c r="M26" s="2" t="s">
        <v>3</v>
      </c>
      <c r="N26" s="5">
        <v>19681</v>
      </c>
      <c r="P26" s="2" t="s">
        <v>3</v>
      </c>
    </row>
    <row r="27" spans="1:16" ht="12" x14ac:dyDescent="0.3">
      <c r="A27" s="1" t="s">
        <v>304</v>
      </c>
      <c r="B27" s="5">
        <v>28207</v>
      </c>
      <c r="D27" s="2" t="s">
        <v>3</v>
      </c>
      <c r="E27" s="2" t="s">
        <v>3</v>
      </c>
      <c r="F27" s="5">
        <v>4303</v>
      </c>
      <c r="H27" s="2" t="s">
        <v>3</v>
      </c>
      <c r="I27" s="2" t="s">
        <v>3</v>
      </c>
      <c r="J27" s="5">
        <v>8320</v>
      </c>
      <c r="L27" s="2" t="s">
        <v>3</v>
      </c>
      <c r="M27" s="2" t="s">
        <v>3</v>
      </c>
      <c r="N27" s="5">
        <v>40830</v>
      </c>
      <c r="P27" s="2" t="s">
        <v>3</v>
      </c>
    </row>
    <row r="28" spans="1:16" ht="12" x14ac:dyDescent="0.3">
      <c r="A28" s="4">
        <v>2017</v>
      </c>
      <c r="B28" s="2" t="s">
        <v>3</v>
      </c>
      <c r="E28" s="2" t="s">
        <v>3</v>
      </c>
      <c r="F28" s="2" t="s">
        <v>3</v>
      </c>
      <c r="I28" s="2" t="s">
        <v>3</v>
      </c>
      <c r="J28" s="2" t="s">
        <v>3</v>
      </c>
      <c r="M28" s="2" t="s">
        <v>3</v>
      </c>
      <c r="N28" s="2" t="s">
        <v>3</v>
      </c>
    </row>
    <row r="29" spans="1:16" ht="12" x14ac:dyDescent="0.3">
      <c r="A29" s="1" t="s">
        <v>238</v>
      </c>
      <c r="B29" s="7">
        <v>93889</v>
      </c>
      <c r="D29" s="2" t="s">
        <v>3</v>
      </c>
      <c r="E29" s="2" t="s">
        <v>3</v>
      </c>
      <c r="F29" s="7">
        <v>18775</v>
      </c>
      <c r="H29" s="2" t="s">
        <v>3</v>
      </c>
      <c r="I29" s="2" t="s">
        <v>3</v>
      </c>
      <c r="J29" s="7">
        <v>16361</v>
      </c>
      <c r="L29" s="2" t="s">
        <v>3</v>
      </c>
      <c r="M29" s="2" t="s">
        <v>3</v>
      </c>
      <c r="N29" s="7">
        <v>129025</v>
      </c>
      <c r="P29" s="2" t="s">
        <v>3</v>
      </c>
    </row>
    <row r="30" spans="1:16" ht="12" x14ac:dyDescent="0.3">
      <c r="A30" s="3" t="s">
        <v>246</v>
      </c>
      <c r="B30" s="5">
        <v>2644</v>
      </c>
      <c r="D30" s="2" t="s">
        <v>3</v>
      </c>
      <c r="E30" s="2" t="s">
        <v>3</v>
      </c>
      <c r="F30" s="5">
        <v>841</v>
      </c>
      <c r="H30" s="2" t="s">
        <v>3</v>
      </c>
      <c r="I30" s="2" t="s">
        <v>3</v>
      </c>
      <c r="J30" s="5">
        <v>626</v>
      </c>
      <c r="L30" s="2" t="s">
        <v>3</v>
      </c>
      <c r="M30" s="2" t="s">
        <v>3</v>
      </c>
      <c r="N30" s="5">
        <v>4111</v>
      </c>
      <c r="P30" s="2" t="s">
        <v>3</v>
      </c>
    </row>
    <row r="31" spans="1:16" ht="12" x14ac:dyDescent="0.3">
      <c r="A31" s="3" t="s">
        <v>404</v>
      </c>
      <c r="B31" s="5">
        <v>1044</v>
      </c>
      <c r="D31" s="2" t="s">
        <v>3</v>
      </c>
      <c r="E31" s="2" t="s">
        <v>3</v>
      </c>
      <c r="F31" s="5">
        <v>124</v>
      </c>
      <c r="H31" s="2" t="s">
        <v>3</v>
      </c>
      <c r="I31" s="2" t="s">
        <v>3</v>
      </c>
      <c r="J31" s="5">
        <v>202</v>
      </c>
      <c r="L31" s="2" t="s">
        <v>3</v>
      </c>
      <c r="M31" s="2" t="s">
        <v>3</v>
      </c>
      <c r="N31" s="5">
        <v>1370</v>
      </c>
      <c r="P31" s="2" t="s">
        <v>3</v>
      </c>
    </row>
    <row r="32" spans="1:16" ht="12" x14ac:dyDescent="0.3">
      <c r="A32" s="3" t="s">
        <v>412</v>
      </c>
      <c r="B32" s="5">
        <v>1714</v>
      </c>
      <c r="D32" s="2" t="s">
        <v>3</v>
      </c>
      <c r="E32" s="2" t="s">
        <v>3</v>
      </c>
      <c r="F32" s="5">
        <v>277</v>
      </c>
      <c r="H32" s="2" t="s">
        <v>3</v>
      </c>
      <c r="I32" s="2" t="s">
        <v>3</v>
      </c>
      <c r="J32" s="5">
        <v>511</v>
      </c>
      <c r="L32" s="2" t="s">
        <v>3</v>
      </c>
      <c r="M32" s="2" t="s">
        <v>3</v>
      </c>
      <c r="N32" s="5">
        <v>2502</v>
      </c>
      <c r="P32" s="2" t="s">
        <v>3</v>
      </c>
    </row>
    <row r="33" spans="1:16" ht="12" x14ac:dyDescent="0.3">
      <c r="A33" s="3" t="s">
        <v>219</v>
      </c>
      <c r="B33" s="5">
        <v>12339</v>
      </c>
      <c r="D33" s="2" t="s">
        <v>3</v>
      </c>
      <c r="E33" s="2" t="s">
        <v>3</v>
      </c>
      <c r="F33" s="5">
        <v>1820</v>
      </c>
      <c r="H33" s="2" t="s">
        <v>3</v>
      </c>
      <c r="I33" s="2" t="s">
        <v>3</v>
      </c>
      <c r="J33" s="5">
        <v>4002</v>
      </c>
      <c r="L33" s="2" t="s">
        <v>3</v>
      </c>
      <c r="M33" s="2" t="s">
        <v>3</v>
      </c>
      <c r="N33" s="5">
        <v>18161</v>
      </c>
      <c r="P33" s="2" t="s">
        <v>3</v>
      </c>
    </row>
    <row r="34" spans="1:16" ht="12" x14ac:dyDescent="0.3">
      <c r="A34" s="1" t="s">
        <v>304</v>
      </c>
      <c r="B34" s="5">
        <v>24068</v>
      </c>
      <c r="D34" s="2" t="s">
        <v>3</v>
      </c>
      <c r="E34" s="2" t="s">
        <v>3</v>
      </c>
      <c r="F34" s="5">
        <v>4471</v>
      </c>
      <c r="H34" s="2" t="s">
        <v>3</v>
      </c>
      <c r="I34" s="2" t="s">
        <v>3</v>
      </c>
      <c r="J34" s="5">
        <v>7808</v>
      </c>
      <c r="L34" s="2" t="s">
        <v>3</v>
      </c>
      <c r="M34" s="2" t="s">
        <v>3</v>
      </c>
      <c r="N34" s="5">
        <v>36347</v>
      </c>
      <c r="P34" s="2" t="s">
        <v>3</v>
      </c>
    </row>
    <row r="35" spans="1:16" ht="12" x14ac:dyDescent="0.3">
      <c r="A35" s="2" t="s">
        <v>3</v>
      </c>
    </row>
    <row r="36" spans="1:16" ht="12" x14ac:dyDescent="0.3">
      <c r="A36" s="2" t="s">
        <v>3</v>
      </c>
    </row>
    <row r="37" spans="1:16" ht="12" x14ac:dyDescent="0.3">
      <c r="A37" s="1" t="s">
        <v>8</v>
      </c>
    </row>
    <row r="38" spans="1:16" ht="12" x14ac:dyDescent="0.3">
      <c r="A38" s="1" t="s">
        <v>9</v>
      </c>
    </row>
    <row r="39" spans="1:16" ht="12" x14ac:dyDescent="0.3">
      <c r="A39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L22"/>
  <sheetViews>
    <sheetView workbookViewId="0">
      <selection activeCell="H23" sqref="H23"/>
    </sheetView>
  </sheetViews>
  <sheetFormatPr defaultColWidth="10.3984375" defaultRowHeight="11.5" x14ac:dyDescent="0.25"/>
  <cols>
    <col min="1" max="1" width="24.796875" customWidth="1"/>
    <col min="2" max="12" width="9.09765625" customWidth="1"/>
  </cols>
  <sheetData>
    <row r="1" spans="1:12" ht="12" x14ac:dyDescent="0.3">
      <c r="A1" s="1" t="s">
        <v>0</v>
      </c>
    </row>
    <row r="2" spans="1:12" ht="12" x14ac:dyDescent="0.3">
      <c r="A2" s="1" t="s">
        <v>1</v>
      </c>
    </row>
    <row r="3" spans="1:12" ht="12" x14ac:dyDescent="0.3">
      <c r="A3" s="1" t="s">
        <v>2</v>
      </c>
    </row>
    <row r="4" spans="1:12" ht="12" x14ac:dyDescent="0.3">
      <c r="A4" s="2" t="s">
        <v>3</v>
      </c>
    </row>
    <row r="5" spans="1:12" ht="12" x14ac:dyDescent="0.3">
      <c r="A5" s="1" t="s">
        <v>568</v>
      </c>
    </row>
    <row r="6" spans="1:12" ht="12" x14ac:dyDescent="0.3">
      <c r="A6" s="2" t="s">
        <v>3</v>
      </c>
    </row>
    <row r="7" spans="1:12" ht="12" x14ac:dyDescent="0.3">
      <c r="A7" s="2" t="s">
        <v>3</v>
      </c>
    </row>
    <row r="8" spans="1:12" ht="12" x14ac:dyDescent="0.3">
      <c r="A8" s="2" t="s">
        <v>3</v>
      </c>
    </row>
    <row r="9" spans="1:12" ht="12" x14ac:dyDescent="0.3">
      <c r="A9" s="2" t="s">
        <v>3</v>
      </c>
    </row>
    <row r="10" spans="1:12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</row>
    <row r="11" spans="1:12" ht="12" x14ac:dyDescent="0.3">
      <c r="A11" s="2" t="s">
        <v>3</v>
      </c>
      <c r="B11" s="4">
        <v>2019</v>
      </c>
      <c r="E11" s="2" t="s">
        <v>3</v>
      </c>
      <c r="F11" s="4">
        <v>2018</v>
      </c>
      <c r="I11" s="2" t="s">
        <v>3</v>
      </c>
      <c r="J11" s="4">
        <v>2017</v>
      </c>
    </row>
    <row r="12" spans="1:12" ht="12" x14ac:dyDescent="0.3">
      <c r="A12" s="3" t="s">
        <v>569</v>
      </c>
      <c r="B12" s="7">
        <v>59672</v>
      </c>
      <c r="D12" s="2" t="s">
        <v>3</v>
      </c>
      <c r="E12" s="2" t="s">
        <v>3</v>
      </c>
      <c r="F12" s="7">
        <v>56073</v>
      </c>
      <c r="H12" s="2" t="s">
        <v>3</v>
      </c>
      <c r="I12" s="2" t="s">
        <v>3</v>
      </c>
      <c r="J12" s="7">
        <v>52362</v>
      </c>
      <c r="L12" s="2" t="s">
        <v>3</v>
      </c>
    </row>
    <row r="13" spans="1:12" ht="12" x14ac:dyDescent="0.3">
      <c r="A13" s="3" t="s">
        <v>570</v>
      </c>
      <c r="B13" s="5">
        <v>24570</v>
      </c>
      <c r="D13" s="2" t="s">
        <v>3</v>
      </c>
      <c r="E13" s="2" t="s">
        <v>3</v>
      </c>
      <c r="F13" s="5">
        <v>22620</v>
      </c>
      <c r="H13" s="2" t="s">
        <v>3</v>
      </c>
      <c r="I13" s="2" t="s">
        <v>3</v>
      </c>
      <c r="J13" s="5">
        <v>20583</v>
      </c>
      <c r="L13" s="2" t="s">
        <v>3</v>
      </c>
    </row>
    <row r="14" spans="1:12" ht="12" x14ac:dyDescent="0.3">
      <c r="A14" s="3" t="s">
        <v>571</v>
      </c>
      <c r="B14" s="5">
        <v>19948</v>
      </c>
      <c r="D14" s="2" t="s">
        <v>3</v>
      </c>
      <c r="E14" s="2" t="s">
        <v>3</v>
      </c>
      <c r="F14" s="5">
        <v>18879</v>
      </c>
      <c r="H14" s="2" t="s">
        <v>3</v>
      </c>
      <c r="I14" s="2" t="s">
        <v>3</v>
      </c>
      <c r="J14" s="5">
        <v>17849</v>
      </c>
      <c r="L14" s="2" t="s">
        <v>3</v>
      </c>
    </row>
    <row r="15" spans="1:12" ht="12" x14ac:dyDescent="0.3">
      <c r="A15" s="3" t="s">
        <v>572</v>
      </c>
      <c r="B15" s="5">
        <v>16590</v>
      </c>
      <c r="D15" s="2" t="s">
        <v>3</v>
      </c>
      <c r="E15" s="2" t="s">
        <v>3</v>
      </c>
      <c r="F15" s="5">
        <v>15387</v>
      </c>
      <c r="H15" s="2" t="s">
        <v>3</v>
      </c>
      <c r="I15" s="2" t="s">
        <v>3</v>
      </c>
      <c r="J15" s="5">
        <v>14537</v>
      </c>
      <c r="L15" s="2" t="s">
        <v>3</v>
      </c>
    </row>
    <row r="16" spans="1:12" ht="12" x14ac:dyDescent="0.3">
      <c r="A16" s="3" t="s">
        <v>573</v>
      </c>
      <c r="B16" s="5">
        <v>28571</v>
      </c>
      <c r="D16" s="2" t="s">
        <v>3</v>
      </c>
      <c r="E16" s="2" t="s">
        <v>3</v>
      </c>
      <c r="F16" s="5">
        <v>25475</v>
      </c>
      <c r="H16" s="2" t="s">
        <v>3</v>
      </c>
      <c r="I16" s="2" t="s">
        <v>3</v>
      </c>
      <c r="J16" s="5">
        <v>20841</v>
      </c>
      <c r="L16" s="2" t="s">
        <v>3</v>
      </c>
    </row>
    <row r="17" spans="1:12" ht="12" x14ac:dyDescent="0.3">
      <c r="A17" s="3" t="s">
        <v>574</v>
      </c>
      <c r="B17" s="7">
        <v>149351</v>
      </c>
      <c r="D17" s="2" t="s">
        <v>3</v>
      </c>
      <c r="E17" s="2" t="s">
        <v>3</v>
      </c>
      <c r="F17" s="7">
        <v>138434</v>
      </c>
      <c r="H17" s="2" t="s">
        <v>3</v>
      </c>
      <c r="I17" s="2" t="s">
        <v>3</v>
      </c>
      <c r="J17" s="7">
        <v>126172</v>
      </c>
      <c r="L17" s="2" t="s">
        <v>3</v>
      </c>
    </row>
    <row r="18" spans="1:12" ht="12" x14ac:dyDescent="0.3">
      <c r="A18" s="2" t="s">
        <v>3</v>
      </c>
    </row>
    <row r="19" spans="1:12" ht="12" x14ac:dyDescent="0.3">
      <c r="A19" s="2" t="s">
        <v>3</v>
      </c>
    </row>
    <row r="20" spans="1:12" ht="12" x14ac:dyDescent="0.3">
      <c r="A20" s="1" t="s">
        <v>8</v>
      </c>
    </row>
    <row r="21" spans="1:12" ht="12" x14ac:dyDescent="0.3">
      <c r="A21" s="1" t="s">
        <v>9</v>
      </c>
    </row>
    <row r="22" spans="1:12" ht="12" x14ac:dyDescent="0.3">
      <c r="A22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U45"/>
  <sheetViews>
    <sheetView workbookViewId="0">
      <selection activeCell="H23" sqref="H23"/>
    </sheetView>
  </sheetViews>
  <sheetFormatPr defaultColWidth="10.3984375" defaultRowHeight="11.5" x14ac:dyDescent="0.25"/>
  <cols>
    <col min="1" max="1" width="54.5" customWidth="1"/>
    <col min="2" max="16" width="9.09765625" customWidth="1"/>
    <col min="17" max="17" width="7.09765625" customWidth="1"/>
    <col min="18" max="21" width="9.09765625" customWidth="1"/>
  </cols>
  <sheetData>
    <row r="1" spans="1:21" ht="12" x14ac:dyDescent="0.3">
      <c r="A1" s="1" t="s">
        <v>0</v>
      </c>
    </row>
    <row r="2" spans="1:21" ht="12" x14ac:dyDescent="0.3">
      <c r="A2" s="1" t="s">
        <v>1</v>
      </c>
    </row>
    <row r="3" spans="1:21" ht="12" x14ac:dyDescent="0.3">
      <c r="A3" s="1" t="s">
        <v>2</v>
      </c>
    </row>
    <row r="4" spans="1:21" ht="12" x14ac:dyDescent="0.3">
      <c r="A4" s="2" t="s">
        <v>3</v>
      </c>
    </row>
    <row r="5" spans="1:21" ht="12" x14ac:dyDescent="0.3">
      <c r="A5" s="1" t="s">
        <v>575</v>
      </c>
    </row>
    <row r="6" spans="1:21" ht="12" x14ac:dyDescent="0.3">
      <c r="A6" s="2" t="s">
        <v>3</v>
      </c>
    </row>
    <row r="7" spans="1:21" ht="12" x14ac:dyDescent="0.3">
      <c r="A7" s="2" t="s">
        <v>3</v>
      </c>
    </row>
    <row r="8" spans="1:21" ht="12" x14ac:dyDescent="0.3">
      <c r="A8" s="2" t="s">
        <v>3</v>
      </c>
    </row>
    <row r="9" spans="1:21" ht="12" x14ac:dyDescent="0.3">
      <c r="A9" s="2" t="s">
        <v>3</v>
      </c>
    </row>
    <row r="10" spans="1:21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  <c r="M10" s="2" t="s">
        <v>3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 t="s">
        <v>3</v>
      </c>
      <c r="T10" s="2" t="s">
        <v>3</v>
      </c>
      <c r="U10" s="2" t="s">
        <v>3</v>
      </c>
    </row>
    <row r="11" spans="1:21" ht="12" x14ac:dyDescent="0.3">
      <c r="A11" s="2" t="s">
        <v>3</v>
      </c>
      <c r="B11" s="3" t="s">
        <v>439</v>
      </c>
    </row>
    <row r="12" spans="1:21" ht="12" x14ac:dyDescent="0.3">
      <c r="A12" s="2" t="s">
        <v>3</v>
      </c>
      <c r="B12" s="3" t="s">
        <v>576</v>
      </c>
      <c r="E12" s="2" t="s">
        <v>3</v>
      </c>
      <c r="F12" s="3" t="s">
        <v>577</v>
      </c>
      <c r="I12" s="2" t="s">
        <v>3</v>
      </c>
      <c r="J12" s="3" t="s">
        <v>578</v>
      </c>
      <c r="M12" s="2" t="s">
        <v>3</v>
      </c>
      <c r="N12" s="3" t="s">
        <v>579</v>
      </c>
      <c r="Q12" s="2" t="s">
        <v>3</v>
      </c>
      <c r="S12" s="3" t="s">
        <v>146</v>
      </c>
    </row>
    <row r="13" spans="1:21" ht="12" x14ac:dyDescent="0.3">
      <c r="A13" s="2" t="s">
        <v>3</v>
      </c>
      <c r="B13" s="3" t="s">
        <v>580</v>
      </c>
      <c r="E13" s="2" t="s">
        <v>3</v>
      </c>
      <c r="F13" s="3" t="s">
        <v>580</v>
      </c>
      <c r="I13" s="2" t="s">
        <v>3</v>
      </c>
      <c r="J13" s="3" t="s">
        <v>580</v>
      </c>
      <c r="M13" s="2" t="s">
        <v>3</v>
      </c>
      <c r="N13" s="3" t="s">
        <v>580</v>
      </c>
      <c r="Q13" s="2" t="s">
        <v>3</v>
      </c>
      <c r="R13" s="2" t="s">
        <v>3</v>
      </c>
      <c r="S13" s="3" t="s">
        <v>581</v>
      </c>
    </row>
    <row r="14" spans="1:21" ht="12" x14ac:dyDescent="0.3">
      <c r="A14" s="2" t="s">
        <v>3</v>
      </c>
      <c r="B14" s="3" t="s">
        <v>582</v>
      </c>
      <c r="E14" s="2" t="s">
        <v>3</v>
      </c>
      <c r="F14" s="3" t="s">
        <v>582</v>
      </c>
      <c r="I14" s="2" t="s">
        <v>3</v>
      </c>
      <c r="J14" s="3" t="s">
        <v>582</v>
      </c>
      <c r="M14" s="2" t="s">
        <v>3</v>
      </c>
      <c r="N14" s="3" t="s">
        <v>583</v>
      </c>
    </row>
    <row r="15" spans="1:21" ht="12" x14ac:dyDescent="0.3">
      <c r="A15" s="1" t="s">
        <v>235</v>
      </c>
      <c r="B15" s="2" t="s">
        <v>3</v>
      </c>
      <c r="E15" s="2" t="s">
        <v>3</v>
      </c>
      <c r="F15" s="2" t="s">
        <v>3</v>
      </c>
      <c r="I15" s="2" t="s">
        <v>3</v>
      </c>
      <c r="J15" s="2" t="s">
        <v>3</v>
      </c>
      <c r="M15" s="2" t="s">
        <v>3</v>
      </c>
      <c r="N15" s="2" t="s">
        <v>3</v>
      </c>
      <c r="Q15" s="2" t="s">
        <v>3</v>
      </c>
      <c r="S15" s="2" t="s">
        <v>3</v>
      </c>
    </row>
    <row r="16" spans="1:21" ht="12" x14ac:dyDescent="0.3">
      <c r="A16" s="3" t="s">
        <v>236</v>
      </c>
      <c r="B16" s="7">
        <v>34311</v>
      </c>
      <c r="D16" s="2" t="s">
        <v>3</v>
      </c>
      <c r="E16" s="2" t="s">
        <v>3</v>
      </c>
      <c r="F16" s="7">
        <v>34628</v>
      </c>
      <c r="H16" s="2" t="s">
        <v>3</v>
      </c>
      <c r="I16" s="2" t="s">
        <v>3</v>
      </c>
      <c r="J16" s="7">
        <v>33964</v>
      </c>
      <c r="L16" s="2" t="s">
        <v>3</v>
      </c>
      <c r="M16" s="2" t="s">
        <v>3</v>
      </c>
      <c r="N16" s="7">
        <v>46448</v>
      </c>
      <c r="P16" s="2" t="s">
        <v>3</v>
      </c>
      <c r="Q16" s="2" t="s">
        <v>3</v>
      </c>
      <c r="S16" s="7">
        <v>149351</v>
      </c>
      <c r="U16" s="2" t="s">
        <v>3</v>
      </c>
    </row>
    <row r="17" spans="1:21" ht="12" x14ac:dyDescent="0.3">
      <c r="A17" s="3" t="s">
        <v>237</v>
      </c>
      <c r="B17" s="5">
        <v>758</v>
      </c>
      <c r="D17" s="2" t="s">
        <v>3</v>
      </c>
      <c r="E17" s="2" t="s">
        <v>3</v>
      </c>
      <c r="F17" s="5">
        <v>768</v>
      </c>
      <c r="H17" s="2" t="s">
        <v>3</v>
      </c>
      <c r="I17" s="2" t="s">
        <v>3</v>
      </c>
      <c r="J17" s="5">
        <v>776</v>
      </c>
      <c r="L17" s="2" t="s">
        <v>3</v>
      </c>
      <c r="M17" s="2" t="s">
        <v>3</v>
      </c>
      <c r="N17" s="5">
        <v>1050</v>
      </c>
      <c r="P17" s="2" t="s">
        <v>3</v>
      </c>
      <c r="Q17" s="2" t="s">
        <v>3</v>
      </c>
      <c r="S17" s="5">
        <v>3352</v>
      </c>
      <c r="U17" s="2" t="s">
        <v>3</v>
      </c>
    </row>
    <row r="18" spans="1:21" ht="12" x14ac:dyDescent="0.3">
      <c r="A18" s="1" t="s">
        <v>238</v>
      </c>
      <c r="B18" s="5">
        <v>35069</v>
      </c>
      <c r="D18" s="2" t="s">
        <v>3</v>
      </c>
      <c r="E18" s="2" t="s">
        <v>3</v>
      </c>
      <c r="F18" s="5">
        <v>35396</v>
      </c>
      <c r="H18" s="2" t="s">
        <v>3</v>
      </c>
      <c r="I18" s="2" t="s">
        <v>3</v>
      </c>
      <c r="J18" s="5">
        <v>34740</v>
      </c>
      <c r="L18" s="2" t="s">
        <v>3</v>
      </c>
      <c r="M18" s="2" t="s">
        <v>3</v>
      </c>
      <c r="N18" s="5">
        <v>47498</v>
      </c>
      <c r="P18" s="2" t="s">
        <v>3</v>
      </c>
      <c r="Q18" s="2" t="s">
        <v>3</v>
      </c>
      <c r="S18" s="5">
        <v>152703</v>
      </c>
      <c r="U18" s="2" t="s">
        <v>3</v>
      </c>
    </row>
    <row r="19" spans="1:21" ht="12" x14ac:dyDescent="0.3">
      <c r="A19" s="1" t="s">
        <v>239</v>
      </c>
      <c r="B19" s="2" t="s">
        <v>3</v>
      </c>
      <c r="E19" s="2" t="s">
        <v>3</v>
      </c>
      <c r="F19" s="2" t="s">
        <v>3</v>
      </c>
      <c r="I19" s="2" t="s">
        <v>3</v>
      </c>
      <c r="J19" s="2" t="s">
        <v>3</v>
      </c>
      <c r="M19" s="2" t="s">
        <v>3</v>
      </c>
      <c r="N19" s="2" t="s">
        <v>3</v>
      </c>
      <c r="Q19" s="2" t="s">
        <v>3</v>
      </c>
      <c r="S19" s="2" t="s">
        <v>3</v>
      </c>
    </row>
    <row r="20" spans="1:21" ht="12" x14ac:dyDescent="0.3">
      <c r="A20" s="3" t="s">
        <v>240</v>
      </c>
      <c r="B20" s="5">
        <v>30623</v>
      </c>
      <c r="D20" s="2" t="s">
        <v>3</v>
      </c>
      <c r="E20" s="2" t="s">
        <v>3</v>
      </c>
      <c r="F20" s="5">
        <v>30720</v>
      </c>
      <c r="H20" s="2" t="s">
        <v>3</v>
      </c>
      <c r="I20" s="2" t="s">
        <v>3</v>
      </c>
      <c r="J20" s="5">
        <v>30233</v>
      </c>
      <c r="L20" s="2" t="s">
        <v>3</v>
      </c>
      <c r="M20" s="2" t="s">
        <v>3</v>
      </c>
      <c r="N20" s="5">
        <v>41310</v>
      </c>
      <c r="P20" s="2" t="s">
        <v>3</v>
      </c>
      <c r="Q20" s="2" t="s">
        <v>3</v>
      </c>
      <c r="S20" s="5">
        <v>132886</v>
      </c>
      <c r="U20" s="2" t="s">
        <v>3</v>
      </c>
    </row>
    <row r="21" spans="1:21" ht="12" x14ac:dyDescent="0.3">
      <c r="A21" s="3" t="s">
        <v>243</v>
      </c>
      <c r="B21" s="5">
        <v>3475</v>
      </c>
      <c r="D21" s="2" t="s">
        <v>3</v>
      </c>
      <c r="E21" s="2" t="s">
        <v>3</v>
      </c>
      <c r="F21" s="5">
        <v>3464</v>
      </c>
      <c r="H21" s="2" t="s">
        <v>3</v>
      </c>
      <c r="I21" s="2" t="s">
        <v>3</v>
      </c>
      <c r="J21" s="5">
        <v>3371</v>
      </c>
      <c r="L21" s="2" t="s">
        <v>3</v>
      </c>
      <c r="M21" s="2" t="s">
        <v>3</v>
      </c>
      <c r="N21" s="5">
        <v>4684</v>
      </c>
      <c r="P21" s="2" t="s">
        <v>3</v>
      </c>
      <c r="Q21" s="5">
        <v>-1</v>
      </c>
      <c r="R21" s="3" t="s">
        <v>3</v>
      </c>
      <c r="S21" s="5">
        <v>14994</v>
      </c>
      <c r="U21" s="2" t="s">
        <v>3</v>
      </c>
    </row>
    <row r="22" spans="1:21" ht="12" x14ac:dyDescent="0.3">
      <c r="A22" s="3" t="s">
        <v>245</v>
      </c>
      <c r="B22" s="5">
        <v>22</v>
      </c>
      <c r="D22" s="2" t="s">
        <v>3</v>
      </c>
      <c r="E22" s="2" t="s">
        <v>3</v>
      </c>
      <c r="F22" s="5">
        <v>9</v>
      </c>
      <c r="H22" s="2" t="s">
        <v>3</v>
      </c>
      <c r="I22" s="2" t="s">
        <v>3</v>
      </c>
      <c r="J22" s="5">
        <v>14</v>
      </c>
      <c r="L22" s="2" t="s">
        <v>3</v>
      </c>
      <c r="M22" s="2" t="s">
        <v>3</v>
      </c>
      <c r="N22" s="5">
        <v>41</v>
      </c>
      <c r="P22" s="2" t="s">
        <v>3</v>
      </c>
      <c r="Q22" s="2" t="s">
        <v>3</v>
      </c>
      <c r="S22" s="5">
        <v>86</v>
      </c>
      <c r="U22" s="2" t="s">
        <v>3</v>
      </c>
    </row>
    <row r="23" spans="1:21" ht="12" x14ac:dyDescent="0.3">
      <c r="A23" s="3" t="s">
        <v>246</v>
      </c>
      <c r="B23" s="5">
        <v>949</v>
      </c>
      <c r="D23" s="2" t="s">
        <v>3</v>
      </c>
      <c r="E23" s="2" t="s">
        <v>3</v>
      </c>
      <c r="F23" s="5">
        <v>1203</v>
      </c>
      <c r="H23" s="2" t="s">
        <v>3</v>
      </c>
      <c r="I23" s="2" t="s">
        <v>3</v>
      </c>
      <c r="J23" s="5">
        <v>1122</v>
      </c>
      <c r="L23" s="2" t="s">
        <v>3</v>
      </c>
      <c r="M23" s="2" t="s">
        <v>3</v>
      </c>
      <c r="N23" s="5">
        <v>1463</v>
      </c>
      <c r="P23" s="2" t="s">
        <v>3</v>
      </c>
      <c r="Q23" s="2" t="s">
        <v>3</v>
      </c>
      <c r="S23" s="5">
        <v>4737</v>
      </c>
      <c r="U23" s="2" t="s">
        <v>3</v>
      </c>
    </row>
    <row r="24" spans="1:21" ht="12" x14ac:dyDescent="0.3">
      <c r="A24" s="1" t="s">
        <v>248</v>
      </c>
      <c r="B24" s="2" t="s">
        <v>3</v>
      </c>
      <c r="E24" s="2" t="s">
        <v>3</v>
      </c>
      <c r="F24" s="2" t="s">
        <v>3</v>
      </c>
      <c r="I24" s="2" t="s">
        <v>3</v>
      </c>
      <c r="J24" s="2" t="s">
        <v>3</v>
      </c>
      <c r="M24" s="2" t="s">
        <v>3</v>
      </c>
      <c r="N24" s="2" t="s">
        <v>3</v>
      </c>
      <c r="Q24" s="2" t="s">
        <v>3</v>
      </c>
      <c r="S24" s="2" t="s">
        <v>3</v>
      </c>
    </row>
    <row r="25" spans="1:21" ht="12" x14ac:dyDescent="0.3">
      <c r="A25" s="3" t="s">
        <v>249</v>
      </c>
      <c r="B25" s="5">
        <v>-36</v>
      </c>
      <c r="D25" s="3" t="s">
        <v>3</v>
      </c>
      <c r="E25" s="2" t="s">
        <v>3</v>
      </c>
      <c r="F25" s="5">
        <v>-34</v>
      </c>
      <c r="H25" s="3" t="s">
        <v>3</v>
      </c>
      <c r="I25" s="2" t="s">
        <v>3</v>
      </c>
      <c r="J25" s="5">
        <v>-35</v>
      </c>
      <c r="L25" s="3" t="s">
        <v>3</v>
      </c>
      <c r="M25" s="2" t="s">
        <v>3</v>
      </c>
      <c r="N25" s="5">
        <v>-45</v>
      </c>
      <c r="P25" s="3" t="s">
        <v>3</v>
      </c>
      <c r="Q25" s="2" t="s">
        <v>3</v>
      </c>
      <c r="S25" s="5">
        <v>-150</v>
      </c>
      <c r="U25" s="3" t="s">
        <v>3</v>
      </c>
    </row>
    <row r="26" spans="1:21" ht="12" x14ac:dyDescent="0.3">
      <c r="A26" s="3" t="s">
        <v>250</v>
      </c>
      <c r="B26" s="5">
        <v>22</v>
      </c>
      <c r="D26" s="2" t="s">
        <v>3</v>
      </c>
      <c r="E26" s="2" t="s">
        <v>3</v>
      </c>
      <c r="F26" s="5">
        <v>46</v>
      </c>
      <c r="H26" s="2" t="s">
        <v>3</v>
      </c>
      <c r="I26" s="2" t="s">
        <v>3</v>
      </c>
      <c r="J26" s="5">
        <v>36</v>
      </c>
      <c r="L26" s="2" t="s">
        <v>3</v>
      </c>
      <c r="M26" s="2" t="s">
        <v>3</v>
      </c>
      <c r="N26" s="5">
        <v>74</v>
      </c>
      <c r="P26" s="2" t="s">
        <v>3</v>
      </c>
      <c r="Q26" s="2" t="s">
        <v>3</v>
      </c>
      <c r="S26" s="5">
        <v>178</v>
      </c>
      <c r="U26" s="2" t="s">
        <v>3</v>
      </c>
    </row>
    <row r="27" spans="1:21" ht="12" x14ac:dyDescent="0.3">
      <c r="A27" s="1" t="s">
        <v>251</v>
      </c>
      <c r="B27" s="5">
        <v>935</v>
      </c>
      <c r="D27" s="2" t="s">
        <v>3</v>
      </c>
      <c r="E27" s="2" t="s">
        <v>3</v>
      </c>
      <c r="F27" s="5">
        <v>1215</v>
      </c>
      <c r="H27" s="2" t="s">
        <v>3</v>
      </c>
      <c r="I27" s="2" t="s">
        <v>3</v>
      </c>
      <c r="J27" s="5">
        <v>1123</v>
      </c>
      <c r="L27" s="2" t="s">
        <v>3</v>
      </c>
      <c r="M27" s="2" t="s">
        <v>3</v>
      </c>
      <c r="N27" s="5">
        <v>1492</v>
      </c>
      <c r="P27" s="2" t="s">
        <v>3</v>
      </c>
      <c r="Q27" s="2" t="s">
        <v>3</v>
      </c>
      <c r="S27" s="5">
        <v>4765</v>
      </c>
      <c r="U27" s="2" t="s">
        <v>3</v>
      </c>
    </row>
    <row r="28" spans="1:21" ht="12" x14ac:dyDescent="0.3">
      <c r="A28" s="3" t="s">
        <v>252</v>
      </c>
      <c r="B28" s="5">
        <v>158</v>
      </c>
      <c r="D28" s="2" t="s">
        <v>3</v>
      </c>
      <c r="E28" s="2" t="s">
        <v>3</v>
      </c>
      <c r="F28" s="5">
        <v>314</v>
      </c>
      <c r="H28" s="2" t="s">
        <v>3</v>
      </c>
      <c r="I28" s="2" t="s">
        <v>3</v>
      </c>
      <c r="J28" s="5">
        <v>207</v>
      </c>
      <c r="L28" s="2" t="s">
        <v>3</v>
      </c>
      <c r="M28" s="2" t="s">
        <v>3</v>
      </c>
      <c r="N28" s="5">
        <v>382</v>
      </c>
      <c r="P28" s="2" t="s">
        <v>3</v>
      </c>
      <c r="Q28" s="2" t="s">
        <v>3</v>
      </c>
      <c r="S28" s="5">
        <v>1061</v>
      </c>
      <c r="U28" s="2" t="s">
        <v>3</v>
      </c>
    </row>
    <row r="29" spans="1:21" ht="12" x14ac:dyDescent="0.3">
      <c r="A29" s="3" t="s">
        <v>253</v>
      </c>
      <c r="B29" s="5">
        <v>777</v>
      </c>
      <c r="D29" s="2" t="s">
        <v>3</v>
      </c>
      <c r="E29" s="2" t="s">
        <v>3</v>
      </c>
      <c r="F29" s="5">
        <v>901</v>
      </c>
      <c r="H29" s="2" t="s">
        <v>3</v>
      </c>
      <c r="I29" s="2" t="s">
        <v>3</v>
      </c>
      <c r="J29" s="5">
        <v>916</v>
      </c>
      <c r="L29" s="2" t="s">
        <v>3</v>
      </c>
      <c r="M29" s="2" t="s">
        <v>3</v>
      </c>
      <c r="N29" s="5">
        <v>1110</v>
      </c>
      <c r="P29" s="2" t="s">
        <v>3</v>
      </c>
      <c r="Q29" s="2" t="s">
        <v>3</v>
      </c>
      <c r="S29" s="5">
        <v>3704</v>
      </c>
      <c r="U29" s="2" t="s">
        <v>3</v>
      </c>
    </row>
    <row r="30" spans="1:21" ht="12" x14ac:dyDescent="0.3">
      <c r="A30" s="3" t="s">
        <v>254</v>
      </c>
      <c r="B30" s="5">
        <v>-10</v>
      </c>
      <c r="D30" s="3" t="s">
        <v>3</v>
      </c>
      <c r="E30" s="2" t="s">
        <v>3</v>
      </c>
      <c r="F30" s="5">
        <v>-12</v>
      </c>
      <c r="H30" s="3" t="s">
        <v>3</v>
      </c>
      <c r="I30" s="2" t="s">
        <v>3</v>
      </c>
      <c r="J30" s="5">
        <v>-10</v>
      </c>
      <c r="L30" s="3" t="s">
        <v>3</v>
      </c>
      <c r="M30" s="2" t="s">
        <v>3</v>
      </c>
      <c r="N30" s="5">
        <v>-13</v>
      </c>
      <c r="P30" s="3" t="s">
        <v>3</v>
      </c>
      <c r="Q30" s="2" t="s">
        <v>3</v>
      </c>
      <c r="S30" s="5">
        <v>-45</v>
      </c>
      <c r="U30" s="3" t="s">
        <v>3</v>
      </c>
    </row>
    <row r="31" spans="1:21" ht="12" x14ac:dyDescent="0.3">
      <c r="A31" s="3" t="s">
        <v>255</v>
      </c>
    </row>
    <row r="32" spans="1:21" ht="12" x14ac:dyDescent="0.3">
      <c r="A32" s="1" t="s">
        <v>256</v>
      </c>
      <c r="B32" s="7">
        <v>767</v>
      </c>
      <c r="D32" s="2" t="s">
        <v>3</v>
      </c>
      <c r="E32" s="2" t="s">
        <v>3</v>
      </c>
      <c r="F32" s="7">
        <v>889</v>
      </c>
      <c r="H32" s="2" t="s">
        <v>3</v>
      </c>
      <c r="I32" s="2" t="s">
        <v>3</v>
      </c>
      <c r="J32" s="7">
        <v>906</v>
      </c>
      <c r="L32" s="2" t="s">
        <v>3</v>
      </c>
      <c r="M32" s="2" t="s">
        <v>3</v>
      </c>
      <c r="N32" s="7">
        <v>1097</v>
      </c>
      <c r="P32" s="2" t="s">
        <v>3</v>
      </c>
      <c r="Q32" s="2" t="s">
        <v>3</v>
      </c>
      <c r="S32" s="7">
        <v>3659</v>
      </c>
      <c r="U32" s="2" t="s">
        <v>3</v>
      </c>
    </row>
    <row r="33" spans="1:21" ht="12" x14ac:dyDescent="0.3">
      <c r="A33" s="1" t="s">
        <v>257</v>
      </c>
      <c r="B33" s="2" t="s">
        <v>3</v>
      </c>
      <c r="E33" s="2" t="s">
        <v>3</v>
      </c>
      <c r="F33" s="2" t="s">
        <v>3</v>
      </c>
      <c r="I33" s="2" t="s">
        <v>3</v>
      </c>
      <c r="J33" s="2" t="s">
        <v>3</v>
      </c>
      <c r="M33" s="2" t="s">
        <v>3</v>
      </c>
      <c r="N33" s="2" t="s">
        <v>3</v>
      </c>
      <c r="Q33" s="2" t="s">
        <v>3</v>
      </c>
      <c r="S33" s="2" t="s">
        <v>3</v>
      </c>
    </row>
    <row r="34" spans="1:21" ht="12" x14ac:dyDescent="0.3">
      <c r="A34" s="1" t="s">
        <v>258</v>
      </c>
    </row>
    <row r="35" spans="1:21" ht="12" x14ac:dyDescent="0.3">
      <c r="A35" s="3" t="s">
        <v>259</v>
      </c>
      <c r="B35" s="8">
        <v>1.75</v>
      </c>
      <c r="D35" s="2" t="s">
        <v>3</v>
      </c>
      <c r="E35" s="2" t="s">
        <v>3</v>
      </c>
      <c r="F35" s="8">
        <v>2.02</v>
      </c>
      <c r="H35" s="2" t="s">
        <v>3</v>
      </c>
      <c r="I35" s="2" t="s">
        <v>3</v>
      </c>
      <c r="J35" s="8">
        <v>2.06</v>
      </c>
      <c r="L35" s="2" t="s">
        <v>3</v>
      </c>
      <c r="M35" s="2" t="s">
        <v>3</v>
      </c>
      <c r="N35" s="8">
        <v>2.4900000000000002</v>
      </c>
      <c r="P35" s="2" t="s">
        <v>3</v>
      </c>
      <c r="Q35" s="2" t="s">
        <v>3</v>
      </c>
      <c r="S35" s="8">
        <v>8.32</v>
      </c>
      <c r="U35" s="2" t="s">
        <v>3</v>
      </c>
    </row>
    <row r="36" spans="1:21" ht="12" x14ac:dyDescent="0.3">
      <c r="A36" s="3" t="s">
        <v>260</v>
      </c>
      <c r="B36" s="8">
        <v>1.73</v>
      </c>
      <c r="D36" s="2" t="s">
        <v>3</v>
      </c>
      <c r="E36" s="2" t="s">
        <v>3</v>
      </c>
      <c r="F36" s="8">
        <v>2.0099999999999998</v>
      </c>
      <c r="H36" s="2" t="s">
        <v>3</v>
      </c>
      <c r="I36" s="2" t="s">
        <v>3</v>
      </c>
      <c r="J36" s="8">
        <v>2.0499999999999998</v>
      </c>
      <c r="L36" s="2" t="s">
        <v>3</v>
      </c>
      <c r="M36" s="2" t="s">
        <v>3</v>
      </c>
      <c r="N36" s="8">
        <v>2.4700000000000002</v>
      </c>
      <c r="P36" s="2" t="s">
        <v>3</v>
      </c>
      <c r="Q36" s="2" t="s">
        <v>3</v>
      </c>
      <c r="S36" s="8">
        <v>8.26</v>
      </c>
      <c r="U36" s="2" t="s">
        <v>3</v>
      </c>
    </row>
    <row r="37" spans="1:21" ht="12" x14ac:dyDescent="0.3">
      <c r="A37" s="3" t="s">
        <v>261</v>
      </c>
      <c r="B37" s="2" t="s">
        <v>3</v>
      </c>
      <c r="E37" s="2" t="s">
        <v>3</v>
      </c>
      <c r="F37" s="2" t="s">
        <v>3</v>
      </c>
      <c r="I37" s="2" t="s">
        <v>3</v>
      </c>
      <c r="J37" s="2" t="s">
        <v>3</v>
      </c>
      <c r="M37" s="2" t="s">
        <v>3</v>
      </c>
      <c r="N37" s="2" t="s">
        <v>3</v>
      </c>
      <c r="Q37" s="2" t="s">
        <v>3</v>
      </c>
      <c r="S37" s="2" t="s">
        <v>3</v>
      </c>
    </row>
    <row r="38" spans="1:21" ht="12" x14ac:dyDescent="0.3">
      <c r="A38" s="3" t="s">
        <v>259</v>
      </c>
      <c r="B38" s="5">
        <v>439157</v>
      </c>
      <c r="D38" s="2" t="s">
        <v>3</v>
      </c>
      <c r="E38" s="2" t="s">
        <v>3</v>
      </c>
      <c r="F38" s="5">
        <v>440284</v>
      </c>
      <c r="H38" s="2" t="s">
        <v>3</v>
      </c>
      <c r="I38" s="2" t="s">
        <v>3</v>
      </c>
      <c r="J38" s="5">
        <v>439859</v>
      </c>
      <c r="L38" s="2" t="s">
        <v>3</v>
      </c>
      <c r="M38" s="2" t="s">
        <v>3</v>
      </c>
      <c r="N38" s="5">
        <v>439727</v>
      </c>
      <c r="P38" s="2" t="s">
        <v>3</v>
      </c>
      <c r="Q38" s="2" t="s">
        <v>3</v>
      </c>
      <c r="S38" s="5">
        <v>439755</v>
      </c>
      <c r="U38" s="2" t="s">
        <v>3</v>
      </c>
    </row>
    <row r="39" spans="1:21" ht="12" x14ac:dyDescent="0.3">
      <c r="A39" s="3" t="s">
        <v>260</v>
      </c>
      <c r="B39" s="5">
        <v>442749</v>
      </c>
      <c r="D39" s="2" t="s">
        <v>3</v>
      </c>
      <c r="E39" s="2" t="s">
        <v>3</v>
      </c>
      <c r="F39" s="5">
        <v>442337</v>
      </c>
      <c r="H39" s="2" t="s">
        <v>3</v>
      </c>
      <c r="I39" s="2" t="s">
        <v>3</v>
      </c>
      <c r="J39" s="5">
        <v>442642</v>
      </c>
      <c r="L39" s="2" t="s">
        <v>3</v>
      </c>
      <c r="M39" s="2" t="s">
        <v>3</v>
      </c>
      <c r="N39" s="5">
        <v>443400</v>
      </c>
      <c r="P39" s="2" t="s">
        <v>3</v>
      </c>
      <c r="Q39" s="2" t="s">
        <v>3</v>
      </c>
      <c r="S39" s="5">
        <v>442923</v>
      </c>
      <c r="U39" s="2" t="s">
        <v>3</v>
      </c>
    </row>
    <row r="40" spans="1:21" ht="12" x14ac:dyDescent="0.3">
      <c r="A40" s="1" t="s">
        <v>584</v>
      </c>
      <c r="B40" s="8">
        <v>0.56999999999999995</v>
      </c>
      <c r="D40" s="2" t="s">
        <v>3</v>
      </c>
      <c r="E40" s="2" t="s">
        <v>3</v>
      </c>
      <c r="F40" s="8">
        <v>0.56999999999999995</v>
      </c>
      <c r="H40" s="2" t="s">
        <v>3</v>
      </c>
      <c r="I40" s="2" t="s">
        <v>3</v>
      </c>
      <c r="J40" s="8">
        <v>0.65</v>
      </c>
      <c r="L40" s="2" t="s">
        <v>3</v>
      </c>
      <c r="M40" s="2" t="s">
        <v>3</v>
      </c>
      <c r="N40" s="8">
        <v>0.65</v>
      </c>
      <c r="P40" s="2" t="s">
        <v>3</v>
      </c>
      <c r="Q40" s="2" t="s">
        <v>3</v>
      </c>
      <c r="S40" s="8">
        <v>2.44</v>
      </c>
      <c r="U40" s="2" t="s">
        <v>3</v>
      </c>
    </row>
    <row r="41" spans="1:21" ht="12" x14ac:dyDescent="0.3">
      <c r="A41" s="2" t="s">
        <v>3</v>
      </c>
    </row>
    <row r="42" spans="1:21" ht="12" x14ac:dyDescent="0.3">
      <c r="A42" s="2" t="s">
        <v>3</v>
      </c>
    </row>
    <row r="43" spans="1:21" ht="12" x14ac:dyDescent="0.3">
      <c r="A43" s="1" t="s">
        <v>8</v>
      </c>
    </row>
    <row r="44" spans="1:21" ht="12" x14ac:dyDescent="0.3">
      <c r="A44" s="1" t="s">
        <v>9</v>
      </c>
    </row>
    <row r="45" spans="1:21" ht="12" x14ac:dyDescent="0.3">
      <c r="A45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T45"/>
  <sheetViews>
    <sheetView workbookViewId="0">
      <selection activeCell="H23" sqref="H23"/>
    </sheetView>
  </sheetViews>
  <sheetFormatPr defaultColWidth="10.3984375" defaultRowHeight="11.5" x14ac:dyDescent="0.25"/>
  <cols>
    <col min="1" max="1" width="54.5" customWidth="1"/>
    <col min="2" max="20" width="9.09765625" customWidth="1"/>
  </cols>
  <sheetData>
    <row r="1" spans="1:20" ht="12" x14ac:dyDescent="0.3">
      <c r="A1" s="1" t="s">
        <v>0</v>
      </c>
    </row>
    <row r="2" spans="1:20" ht="12" x14ac:dyDescent="0.3">
      <c r="A2" s="1" t="s">
        <v>1</v>
      </c>
    </row>
    <row r="3" spans="1:20" ht="12" x14ac:dyDescent="0.3">
      <c r="A3" s="1" t="s">
        <v>2</v>
      </c>
    </row>
    <row r="4" spans="1:20" ht="12" x14ac:dyDescent="0.3">
      <c r="A4" s="2" t="s">
        <v>3</v>
      </c>
    </row>
    <row r="5" spans="1:20" ht="12" x14ac:dyDescent="0.3">
      <c r="A5" s="1" t="s">
        <v>575</v>
      </c>
    </row>
    <row r="6" spans="1:20" ht="12" x14ac:dyDescent="0.3">
      <c r="A6" s="2" t="s">
        <v>3</v>
      </c>
    </row>
    <row r="7" spans="1:20" ht="12" x14ac:dyDescent="0.3">
      <c r="A7" s="2" t="s">
        <v>3</v>
      </c>
    </row>
    <row r="8" spans="1:20" ht="12" x14ac:dyDescent="0.3">
      <c r="A8" s="2" t="s">
        <v>3</v>
      </c>
    </row>
    <row r="9" spans="1:20" ht="12" x14ac:dyDescent="0.3">
      <c r="A9" s="2" t="s">
        <v>3</v>
      </c>
    </row>
    <row r="10" spans="1:20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  <c r="M10" s="2" t="s">
        <v>3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 t="s">
        <v>3</v>
      </c>
      <c r="T10" s="2" t="s">
        <v>3</v>
      </c>
    </row>
    <row r="11" spans="1:20" ht="12" x14ac:dyDescent="0.3">
      <c r="A11" s="2" t="s">
        <v>3</v>
      </c>
      <c r="B11" s="3" t="s">
        <v>585</v>
      </c>
    </row>
    <row r="12" spans="1:20" ht="12" x14ac:dyDescent="0.3">
      <c r="A12" s="2" t="s">
        <v>3</v>
      </c>
      <c r="B12" s="3" t="s">
        <v>576</v>
      </c>
      <c r="E12" s="2" t="s">
        <v>3</v>
      </c>
      <c r="F12" s="3" t="s">
        <v>577</v>
      </c>
      <c r="I12" s="2" t="s">
        <v>3</v>
      </c>
      <c r="J12" s="3" t="s">
        <v>578</v>
      </c>
      <c r="M12" s="2" t="s">
        <v>3</v>
      </c>
      <c r="N12" s="3" t="s">
        <v>579</v>
      </c>
      <c r="Q12" s="2" t="s">
        <v>3</v>
      </c>
      <c r="R12" s="3" t="s">
        <v>586</v>
      </c>
    </row>
    <row r="13" spans="1:20" ht="12" x14ac:dyDescent="0.3">
      <c r="A13" s="2" t="s">
        <v>3</v>
      </c>
      <c r="B13" s="3" t="s">
        <v>580</v>
      </c>
      <c r="E13" s="2" t="s">
        <v>3</v>
      </c>
      <c r="F13" s="3" t="s">
        <v>580</v>
      </c>
      <c r="I13" s="2" t="s">
        <v>3</v>
      </c>
      <c r="J13" s="3" t="s">
        <v>580</v>
      </c>
      <c r="M13" s="2" t="s">
        <v>3</v>
      </c>
      <c r="N13" s="3" t="s">
        <v>580</v>
      </c>
    </row>
    <row r="14" spans="1:20" ht="12" x14ac:dyDescent="0.3">
      <c r="A14" s="2" t="s">
        <v>3</v>
      </c>
      <c r="B14" s="3" t="s">
        <v>582</v>
      </c>
      <c r="E14" s="2" t="s">
        <v>3</v>
      </c>
      <c r="F14" s="3" t="s">
        <v>582</v>
      </c>
      <c r="I14" s="2" t="s">
        <v>3</v>
      </c>
      <c r="J14" s="3" t="s">
        <v>582</v>
      </c>
      <c r="M14" s="2" t="s">
        <v>3</v>
      </c>
      <c r="N14" s="3" t="s">
        <v>583</v>
      </c>
    </row>
    <row r="15" spans="1:20" ht="12" x14ac:dyDescent="0.3">
      <c r="A15" s="1" t="s">
        <v>235</v>
      </c>
      <c r="B15" s="2" t="s">
        <v>3</v>
      </c>
      <c r="E15" s="2" t="s">
        <v>3</v>
      </c>
      <c r="F15" s="2" t="s">
        <v>3</v>
      </c>
      <c r="I15" s="2" t="s">
        <v>3</v>
      </c>
      <c r="J15" s="2" t="s">
        <v>3</v>
      </c>
      <c r="M15" s="2" t="s">
        <v>3</v>
      </c>
      <c r="N15" s="2" t="s">
        <v>3</v>
      </c>
      <c r="Q15" s="2" t="s">
        <v>3</v>
      </c>
      <c r="R15" s="2" t="s">
        <v>3</v>
      </c>
    </row>
    <row r="16" spans="1:20" ht="12" x14ac:dyDescent="0.3">
      <c r="A16" s="3" t="s">
        <v>236</v>
      </c>
      <c r="B16" s="7">
        <v>31117</v>
      </c>
      <c r="D16" s="2" t="s">
        <v>3</v>
      </c>
      <c r="E16" s="2" t="s">
        <v>3</v>
      </c>
      <c r="F16" s="7">
        <v>32279</v>
      </c>
      <c r="H16" s="2" t="s">
        <v>3</v>
      </c>
      <c r="I16" s="2" t="s">
        <v>3</v>
      </c>
      <c r="J16" s="7">
        <v>31624</v>
      </c>
      <c r="L16" s="2" t="s">
        <v>3</v>
      </c>
      <c r="M16" s="2" t="s">
        <v>3</v>
      </c>
      <c r="N16" s="7">
        <v>43414</v>
      </c>
      <c r="P16" s="2" t="s">
        <v>3</v>
      </c>
      <c r="Q16" s="2" t="s">
        <v>3</v>
      </c>
      <c r="R16" s="7">
        <v>138434</v>
      </c>
      <c r="T16" s="2" t="s">
        <v>3</v>
      </c>
    </row>
    <row r="17" spans="1:20" ht="12" x14ac:dyDescent="0.3">
      <c r="A17" s="3" t="s">
        <v>237</v>
      </c>
      <c r="B17" s="5">
        <v>692</v>
      </c>
      <c r="D17" s="2" t="s">
        <v>3</v>
      </c>
      <c r="E17" s="2" t="s">
        <v>3</v>
      </c>
      <c r="F17" s="5">
        <v>716</v>
      </c>
      <c r="H17" s="2" t="s">
        <v>3</v>
      </c>
      <c r="I17" s="2" t="s">
        <v>3</v>
      </c>
      <c r="J17" s="5">
        <v>737</v>
      </c>
      <c r="L17" s="2" t="s">
        <v>3</v>
      </c>
      <c r="M17" s="2" t="s">
        <v>3</v>
      </c>
      <c r="N17" s="5">
        <v>997</v>
      </c>
      <c r="P17" s="2" t="s">
        <v>3</v>
      </c>
      <c r="Q17" s="2" t="s">
        <v>3</v>
      </c>
      <c r="R17" s="5">
        <v>3142</v>
      </c>
      <c r="T17" s="2" t="s">
        <v>3</v>
      </c>
    </row>
    <row r="18" spans="1:20" ht="12" x14ac:dyDescent="0.3">
      <c r="A18" s="1" t="s">
        <v>238</v>
      </c>
      <c r="B18" s="5">
        <v>31809</v>
      </c>
      <c r="D18" s="2" t="s">
        <v>3</v>
      </c>
      <c r="E18" s="2" t="s">
        <v>3</v>
      </c>
      <c r="F18" s="5">
        <v>32995</v>
      </c>
      <c r="H18" s="2" t="s">
        <v>3</v>
      </c>
      <c r="I18" s="2" t="s">
        <v>3</v>
      </c>
      <c r="J18" s="5">
        <v>32361</v>
      </c>
      <c r="L18" s="2" t="s">
        <v>3</v>
      </c>
      <c r="M18" s="2" t="s">
        <v>3</v>
      </c>
      <c r="N18" s="5">
        <v>44411</v>
      </c>
      <c r="P18" s="2" t="s">
        <v>3</v>
      </c>
      <c r="Q18" s="2" t="s">
        <v>3</v>
      </c>
      <c r="R18" s="5">
        <v>141576</v>
      </c>
      <c r="T18" s="2" t="s">
        <v>3</v>
      </c>
    </row>
    <row r="19" spans="1:20" ht="12" x14ac:dyDescent="0.3">
      <c r="A19" s="1" t="s">
        <v>239</v>
      </c>
      <c r="B19" s="2" t="s">
        <v>3</v>
      </c>
      <c r="E19" s="2" t="s">
        <v>3</v>
      </c>
      <c r="F19" s="2" t="s">
        <v>3</v>
      </c>
      <c r="I19" s="2" t="s">
        <v>3</v>
      </c>
      <c r="J19" s="2" t="s">
        <v>3</v>
      </c>
      <c r="M19" s="2" t="s">
        <v>3</v>
      </c>
      <c r="N19" s="2" t="s">
        <v>3</v>
      </c>
      <c r="Q19" s="2" t="s">
        <v>3</v>
      </c>
      <c r="R19" s="2" t="s">
        <v>3</v>
      </c>
    </row>
    <row r="20" spans="1:20" ht="12" x14ac:dyDescent="0.3">
      <c r="A20" s="3" t="s">
        <v>240</v>
      </c>
      <c r="B20" s="5">
        <v>27617</v>
      </c>
      <c r="D20" s="2" t="s">
        <v>3</v>
      </c>
      <c r="E20" s="2" t="s">
        <v>3</v>
      </c>
      <c r="F20" s="5">
        <v>28733</v>
      </c>
      <c r="H20" s="2" t="s">
        <v>3</v>
      </c>
      <c r="I20" s="2" t="s">
        <v>3</v>
      </c>
      <c r="J20" s="5">
        <v>28131</v>
      </c>
      <c r="L20" s="2" t="s">
        <v>3</v>
      </c>
      <c r="M20" s="2" t="s">
        <v>3</v>
      </c>
      <c r="N20" s="5">
        <v>38671</v>
      </c>
      <c r="P20" s="2" t="s">
        <v>3</v>
      </c>
      <c r="Q20" s="2" t="s">
        <v>3</v>
      </c>
      <c r="R20" s="5">
        <v>123152</v>
      </c>
      <c r="T20" s="2" t="s">
        <v>3</v>
      </c>
    </row>
    <row r="21" spans="1:20" ht="12" x14ac:dyDescent="0.3">
      <c r="A21" s="3" t="s">
        <v>243</v>
      </c>
      <c r="B21" s="5">
        <v>3224</v>
      </c>
      <c r="D21" s="2" t="s">
        <v>3</v>
      </c>
      <c r="E21" s="2" t="s">
        <v>3</v>
      </c>
      <c r="F21" s="5">
        <v>3234</v>
      </c>
      <c r="H21" s="2" t="s">
        <v>3</v>
      </c>
      <c r="I21" s="2" t="s">
        <v>3</v>
      </c>
      <c r="J21" s="5">
        <v>3155</v>
      </c>
      <c r="L21" s="2" t="s">
        <v>3</v>
      </c>
      <c r="M21" s="2" t="s">
        <v>3</v>
      </c>
      <c r="N21" s="5">
        <v>4263</v>
      </c>
      <c r="P21" s="2" t="s">
        <v>3</v>
      </c>
      <c r="Q21" s="2" t="s">
        <v>3</v>
      </c>
      <c r="R21" s="5">
        <v>13876</v>
      </c>
      <c r="T21" s="2" t="s">
        <v>3</v>
      </c>
    </row>
    <row r="22" spans="1:20" ht="12" x14ac:dyDescent="0.3">
      <c r="A22" s="3" t="s">
        <v>245</v>
      </c>
      <c r="B22" s="5">
        <v>17</v>
      </c>
      <c r="D22" s="2" t="s">
        <v>3</v>
      </c>
      <c r="E22" s="2" t="s">
        <v>3</v>
      </c>
      <c r="F22" s="5">
        <v>12</v>
      </c>
      <c r="H22" s="2" t="s">
        <v>3</v>
      </c>
      <c r="I22" s="2" t="s">
        <v>3</v>
      </c>
      <c r="J22" s="5">
        <v>8</v>
      </c>
      <c r="L22" s="2" t="s">
        <v>3</v>
      </c>
      <c r="M22" s="2" t="s">
        <v>3</v>
      </c>
      <c r="N22" s="5">
        <v>31</v>
      </c>
      <c r="P22" s="2" t="s">
        <v>3</v>
      </c>
      <c r="Q22" s="2" t="s">
        <v>3</v>
      </c>
      <c r="R22" s="5">
        <v>68</v>
      </c>
      <c r="T22" s="2" t="s">
        <v>3</v>
      </c>
    </row>
    <row r="23" spans="1:20" ht="12" x14ac:dyDescent="0.3">
      <c r="A23" s="3" t="s">
        <v>246</v>
      </c>
      <c r="B23" s="5">
        <v>951</v>
      </c>
      <c r="D23" s="2" t="s">
        <v>3</v>
      </c>
      <c r="E23" s="2" t="s">
        <v>3</v>
      </c>
      <c r="F23" s="5">
        <v>1016</v>
      </c>
      <c r="H23" s="2" t="s">
        <v>3</v>
      </c>
      <c r="I23" s="2" t="s">
        <v>3</v>
      </c>
      <c r="J23" s="5">
        <v>1067</v>
      </c>
      <c r="L23" s="2" t="s">
        <v>3</v>
      </c>
      <c r="M23" s="2" t="s">
        <v>3</v>
      </c>
      <c r="N23" s="5">
        <v>1446</v>
      </c>
      <c r="P23" s="2" t="s">
        <v>3</v>
      </c>
      <c r="Q23" s="2" t="s">
        <v>3</v>
      </c>
      <c r="R23" s="5">
        <v>4480</v>
      </c>
      <c r="T23" s="2" t="s">
        <v>3</v>
      </c>
    </row>
    <row r="24" spans="1:20" ht="12" x14ac:dyDescent="0.3">
      <c r="A24" s="1" t="s">
        <v>248</v>
      </c>
      <c r="B24" s="2" t="s">
        <v>3</v>
      </c>
      <c r="E24" s="2" t="s">
        <v>3</v>
      </c>
      <c r="F24" s="2" t="s">
        <v>3</v>
      </c>
      <c r="I24" s="2" t="s">
        <v>3</v>
      </c>
      <c r="J24" s="2" t="s">
        <v>3</v>
      </c>
      <c r="M24" s="2" t="s">
        <v>3</v>
      </c>
      <c r="N24" s="2" t="s">
        <v>3</v>
      </c>
      <c r="Q24" s="2" t="s">
        <v>3</v>
      </c>
      <c r="R24" s="2" t="s">
        <v>3</v>
      </c>
    </row>
    <row r="25" spans="1:20" ht="12" x14ac:dyDescent="0.3">
      <c r="A25" s="3" t="s">
        <v>249</v>
      </c>
      <c r="B25" s="5">
        <v>-37</v>
      </c>
      <c r="D25" s="3" t="s">
        <v>3</v>
      </c>
      <c r="E25" s="2" t="s">
        <v>3</v>
      </c>
      <c r="F25" s="5">
        <v>-37</v>
      </c>
      <c r="H25" s="3" t="s">
        <v>3</v>
      </c>
      <c r="I25" s="2" t="s">
        <v>3</v>
      </c>
      <c r="J25" s="5">
        <v>-37</v>
      </c>
      <c r="L25" s="3" t="s">
        <v>3</v>
      </c>
      <c r="M25" s="2" t="s">
        <v>3</v>
      </c>
      <c r="N25" s="5">
        <v>-48</v>
      </c>
      <c r="P25" s="3" t="s">
        <v>3</v>
      </c>
      <c r="Q25" s="2" t="s">
        <v>3</v>
      </c>
      <c r="R25" s="5">
        <v>-159</v>
      </c>
      <c r="T25" s="3" t="s">
        <v>3</v>
      </c>
    </row>
    <row r="26" spans="1:20" ht="12" x14ac:dyDescent="0.3">
      <c r="A26" s="3" t="s">
        <v>250</v>
      </c>
      <c r="B26" s="5">
        <v>22</v>
      </c>
      <c r="D26" s="2" t="s">
        <v>3</v>
      </c>
      <c r="E26" s="2" t="s">
        <v>3</v>
      </c>
      <c r="F26" s="5">
        <v>7</v>
      </c>
      <c r="H26" s="2" t="s">
        <v>3</v>
      </c>
      <c r="I26" s="2" t="s">
        <v>3</v>
      </c>
      <c r="J26" s="5">
        <v>41</v>
      </c>
      <c r="L26" s="2" t="s">
        <v>3</v>
      </c>
      <c r="M26" s="2" t="s">
        <v>3</v>
      </c>
      <c r="N26" s="5">
        <v>51</v>
      </c>
      <c r="P26" s="2" t="s">
        <v>3</v>
      </c>
      <c r="Q26" s="2" t="s">
        <v>3</v>
      </c>
      <c r="R26" s="5">
        <v>121</v>
      </c>
      <c r="T26" s="2" t="s">
        <v>3</v>
      </c>
    </row>
    <row r="27" spans="1:20" ht="12" x14ac:dyDescent="0.3">
      <c r="A27" s="1" t="s">
        <v>251</v>
      </c>
      <c r="B27" s="5">
        <v>936</v>
      </c>
      <c r="D27" s="2" t="s">
        <v>3</v>
      </c>
      <c r="E27" s="2" t="s">
        <v>3</v>
      </c>
      <c r="F27" s="5">
        <v>986</v>
      </c>
      <c r="H27" s="2" t="s">
        <v>3</v>
      </c>
      <c r="I27" s="2" t="s">
        <v>3</v>
      </c>
      <c r="J27" s="5">
        <v>1071</v>
      </c>
      <c r="L27" s="2" t="s">
        <v>3</v>
      </c>
      <c r="M27" s="2" t="s">
        <v>3</v>
      </c>
      <c r="N27" s="5">
        <v>1449</v>
      </c>
      <c r="P27" s="2" t="s">
        <v>3</v>
      </c>
      <c r="Q27" s="2" t="s">
        <v>3</v>
      </c>
      <c r="R27" s="5">
        <v>4442</v>
      </c>
      <c r="T27" s="2" t="s">
        <v>3</v>
      </c>
    </row>
    <row r="28" spans="1:20" ht="12" x14ac:dyDescent="0.3">
      <c r="A28" s="3" t="s">
        <v>252</v>
      </c>
      <c r="B28" s="5">
        <v>285</v>
      </c>
      <c r="D28" s="2" t="s">
        <v>3</v>
      </c>
      <c r="E28" s="2" t="s">
        <v>3</v>
      </c>
      <c r="F28" s="5">
        <v>273</v>
      </c>
      <c r="H28" s="2" t="s">
        <v>3</v>
      </c>
      <c r="I28" s="2" t="s">
        <v>3</v>
      </c>
      <c r="J28" s="5">
        <v>309</v>
      </c>
      <c r="L28" s="2" t="s">
        <v>3</v>
      </c>
      <c r="M28" s="2" t="s">
        <v>3</v>
      </c>
      <c r="N28" s="5">
        <v>396</v>
      </c>
      <c r="P28" s="2" t="s">
        <v>3</v>
      </c>
      <c r="Q28" s="2" t="s">
        <v>3</v>
      </c>
      <c r="R28" s="5">
        <v>1263</v>
      </c>
      <c r="T28" s="2" t="s">
        <v>3</v>
      </c>
    </row>
    <row r="29" spans="1:20" ht="12" x14ac:dyDescent="0.3">
      <c r="A29" s="3" t="s">
        <v>253</v>
      </c>
      <c r="B29" s="5">
        <v>651</v>
      </c>
      <c r="D29" s="2" t="s">
        <v>3</v>
      </c>
      <c r="E29" s="2" t="s">
        <v>3</v>
      </c>
      <c r="F29" s="5">
        <v>713</v>
      </c>
      <c r="H29" s="2" t="s">
        <v>3</v>
      </c>
      <c r="I29" s="2" t="s">
        <v>3</v>
      </c>
      <c r="J29" s="5">
        <v>762</v>
      </c>
      <c r="L29" s="2" t="s">
        <v>3</v>
      </c>
      <c r="M29" s="2" t="s">
        <v>3</v>
      </c>
      <c r="N29" s="5">
        <v>1053</v>
      </c>
      <c r="P29" s="2" t="s">
        <v>3</v>
      </c>
      <c r="Q29" s="2" t="s">
        <v>3</v>
      </c>
      <c r="R29" s="5">
        <v>3179</v>
      </c>
      <c r="T29" s="2" t="s">
        <v>3</v>
      </c>
    </row>
    <row r="30" spans="1:20" ht="12" x14ac:dyDescent="0.3">
      <c r="A30" s="3" t="s">
        <v>254</v>
      </c>
      <c r="B30" s="5">
        <v>-11</v>
      </c>
      <c r="D30" s="3" t="s">
        <v>3</v>
      </c>
      <c r="E30" s="2" t="s">
        <v>3</v>
      </c>
      <c r="F30" s="5">
        <v>-12</v>
      </c>
      <c r="H30" s="3" t="s">
        <v>3</v>
      </c>
      <c r="I30" s="2" t="s">
        <v>3</v>
      </c>
      <c r="J30" s="5">
        <v>-12</v>
      </c>
      <c r="L30" s="3" t="s">
        <v>3</v>
      </c>
      <c r="M30" s="2" t="s">
        <v>3</v>
      </c>
      <c r="N30" s="5">
        <v>-10</v>
      </c>
      <c r="P30" s="3" t="s">
        <v>3</v>
      </c>
      <c r="Q30" s="2" t="s">
        <v>3</v>
      </c>
      <c r="R30" s="5">
        <v>-45</v>
      </c>
      <c r="T30" s="3" t="s">
        <v>3</v>
      </c>
    </row>
    <row r="31" spans="1:20" ht="12" x14ac:dyDescent="0.3">
      <c r="A31" s="3" t="s">
        <v>255</v>
      </c>
    </row>
    <row r="32" spans="1:20" ht="12" x14ac:dyDescent="0.3">
      <c r="A32" s="1" t="s">
        <v>256</v>
      </c>
      <c r="B32" s="7">
        <v>640</v>
      </c>
      <c r="D32" s="2" t="s">
        <v>3</v>
      </c>
      <c r="E32" s="2" t="s">
        <v>3</v>
      </c>
      <c r="F32" s="7">
        <v>701</v>
      </c>
      <c r="H32" s="2" t="s">
        <v>3</v>
      </c>
      <c r="I32" s="2" t="s">
        <v>3</v>
      </c>
      <c r="J32" s="7">
        <v>750</v>
      </c>
      <c r="L32" s="2" t="s">
        <v>3</v>
      </c>
      <c r="M32" s="2" t="s">
        <v>3</v>
      </c>
      <c r="N32" s="7">
        <v>1043</v>
      </c>
      <c r="P32" s="2" t="s">
        <v>3</v>
      </c>
      <c r="Q32" s="2" t="s">
        <v>3</v>
      </c>
      <c r="R32" s="7">
        <v>3134</v>
      </c>
      <c r="T32" s="2" t="s">
        <v>3</v>
      </c>
    </row>
    <row r="33" spans="1:20" ht="12" x14ac:dyDescent="0.3">
      <c r="A33" s="1" t="s">
        <v>257</v>
      </c>
      <c r="B33" s="2" t="s">
        <v>3</v>
      </c>
      <c r="E33" s="2" t="s">
        <v>3</v>
      </c>
      <c r="F33" s="2" t="s">
        <v>3</v>
      </c>
      <c r="I33" s="2" t="s">
        <v>3</v>
      </c>
      <c r="J33" s="2" t="s">
        <v>3</v>
      </c>
      <c r="M33" s="2" t="s">
        <v>3</v>
      </c>
      <c r="N33" s="2" t="s">
        <v>3</v>
      </c>
      <c r="Q33" s="2" t="s">
        <v>3</v>
      </c>
      <c r="R33" s="2" t="s">
        <v>3</v>
      </c>
    </row>
    <row r="34" spans="1:20" ht="12" x14ac:dyDescent="0.3">
      <c r="A34" s="1" t="s">
        <v>258</v>
      </c>
    </row>
    <row r="35" spans="1:20" ht="12" x14ac:dyDescent="0.3">
      <c r="A35" s="3" t="s">
        <v>259</v>
      </c>
      <c r="B35" s="8">
        <v>1.46</v>
      </c>
      <c r="D35" s="2" t="s">
        <v>3</v>
      </c>
      <c r="E35" s="2" t="s">
        <v>3</v>
      </c>
      <c r="F35" s="8">
        <v>1.6</v>
      </c>
      <c r="H35" s="2" t="s">
        <v>3</v>
      </c>
      <c r="I35" s="2" t="s">
        <v>3</v>
      </c>
      <c r="J35" s="8">
        <v>1.71</v>
      </c>
      <c r="L35" s="2" t="s">
        <v>3</v>
      </c>
      <c r="M35" s="2" t="s">
        <v>3</v>
      </c>
      <c r="N35" s="8">
        <v>2.38</v>
      </c>
      <c r="P35" s="2" t="s">
        <v>3</v>
      </c>
      <c r="Q35" s="2" t="s">
        <v>3</v>
      </c>
      <c r="R35" s="8">
        <v>7.15</v>
      </c>
      <c r="T35" s="2" t="s">
        <v>3</v>
      </c>
    </row>
    <row r="36" spans="1:20" ht="12" x14ac:dyDescent="0.3">
      <c r="A36" s="3" t="s">
        <v>260</v>
      </c>
      <c r="B36" s="8">
        <v>1.45</v>
      </c>
      <c r="D36" s="2" t="s">
        <v>3</v>
      </c>
      <c r="E36" s="2" t="s">
        <v>3</v>
      </c>
      <c r="F36" s="8">
        <v>1.59</v>
      </c>
      <c r="H36" s="2" t="s">
        <v>3</v>
      </c>
      <c r="I36" s="2" t="s">
        <v>3</v>
      </c>
      <c r="J36" s="8">
        <v>1.7</v>
      </c>
      <c r="L36" s="2" t="s">
        <v>3</v>
      </c>
      <c r="M36" s="2" t="s">
        <v>3</v>
      </c>
      <c r="N36" s="8">
        <v>2.36</v>
      </c>
      <c r="P36" s="2" t="s">
        <v>3</v>
      </c>
      <c r="Q36" s="2" t="s">
        <v>3</v>
      </c>
      <c r="R36" s="8">
        <v>7.09</v>
      </c>
      <c r="T36" s="2" t="s">
        <v>3</v>
      </c>
    </row>
    <row r="37" spans="1:20" ht="12" x14ac:dyDescent="0.3">
      <c r="A37" s="3" t="s">
        <v>261</v>
      </c>
      <c r="B37" s="2" t="s">
        <v>3</v>
      </c>
      <c r="E37" s="2" t="s">
        <v>3</v>
      </c>
      <c r="F37" s="2" t="s">
        <v>3</v>
      </c>
      <c r="I37" s="2" t="s">
        <v>3</v>
      </c>
      <c r="J37" s="2" t="s">
        <v>3</v>
      </c>
      <c r="M37" s="2" t="s">
        <v>3</v>
      </c>
      <c r="N37" s="2" t="s">
        <v>3</v>
      </c>
      <c r="Q37" s="2" t="s">
        <v>3</v>
      </c>
      <c r="R37" s="2" t="s">
        <v>3</v>
      </c>
    </row>
    <row r="38" spans="1:20" ht="12" x14ac:dyDescent="0.3">
      <c r="A38" s="3" t="s">
        <v>259</v>
      </c>
      <c r="B38" s="5">
        <v>437965</v>
      </c>
      <c r="D38" s="2" t="s">
        <v>3</v>
      </c>
      <c r="E38" s="2" t="s">
        <v>3</v>
      </c>
      <c r="F38" s="5">
        <v>439022</v>
      </c>
      <c r="H38" s="2" t="s">
        <v>3</v>
      </c>
      <c r="I38" s="2" t="s">
        <v>3</v>
      </c>
      <c r="J38" s="5">
        <v>438740</v>
      </c>
      <c r="L38" s="2" t="s">
        <v>3</v>
      </c>
      <c r="M38" s="2" t="s">
        <v>3</v>
      </c>
      <c r="N38" s="5">
        <v>438379</v>
      </c>
      <c r="P38" s="2" t="s">
        <v>3</v>
      </c>
      <c r="Q38" s="2" t="s">
        <v>3</v>
      </c>
      <c r="R38" s="5">
        <v>438515</v>
      </c>
      <c r="T38" s="2" t="s">
        <v>3</v>
      </c>
    </row>
    <row r="39" spans="1:20" ht="12" x14ac:dyDescent="0.3">
      <c r="A39" s="3" t="s">
        <v>260</v>
      </c>
      <c r="B39" s="5">
        <v>440851</v>
      </c>
      <c r="D39" s="2" t="s">
        <v>3</v>
      </c>
      <c r="E39" s="2" t="s">
        <v>3</v>
      </c>
      <c r="F39" s="5">
        <v>441568</v>
      </c>
      <c r="H39" s="2" t="s">
        <v>3</v>
      </c>
      <c r="I39" s="2" t="s">
        <v>3</v>
      </c>
      <c r="J39" s="5">
        <v>441715</v>
      </c>
      <c r="L39" s="2" t="s">
        <v>3</v>
      </c>
      <c r="M39" s="2" t="s">
        <v>3</v>
      </c>
      <c r="N39" s="5">
        <v>442427</v>
      </c>
      <c r="P39" s="2" t="s">
        <v>3</v>
      </c>
      <c r="Q39" s="2" t="s">
        <v>3</v>
      </c>
      <c r="R39" s="5">
        <v>441834</v>
      </c>
      <c r="T39" s="2" t="s">
        <v>3</v>
      </c>
    </row>
    <row r="40" spans="1:20" ht="12" x14ac:dyDescent="0.3">
      <c r="A40" s="1" t="s">
        <v>584</v>
      </c>
      <c r="B40" s="8">
        <v>0.5</v>
      </c>
      <c r="D40" s="2" t="s">
        <v>3</v>
      </c>
      <c r="E40" s="2" t="s">
        <v>3</v>
      </c>
      <c r="F40" s="8">
        <v>0.5</v>
      </c>
      <c r="H40" s="2" t="s">
        <v>3</v>
      </c>
      <c r="I40" s="2" t="s">
        <v>3</v>
      </c>
      <c r="J40" s="8">
        <v>0.56999999999999995</v>
      </c>
      <c r="L40" s="2" t="s">
        <v>3</v>
      </c>
      <c r="M40" s="2" t="s">
        <v>3</v>
      </c>
      <c r="N40" s="8">
        <v>0.56999999999999995</v>
      </c>
      <c r="P40" s="2" t="s">
        <v>3</v>
      </c>
      <c r="Q40" s="2" t="s">
        <v>3</v>
      </c>
      <c r="R40" s="8">
        <v>2.14</v>
      </c>
      <c r="T40" s="2" t="s">
        <v>3</v>
      </c>
    </row>
    <row r="41" spans="1:20" ht="12" x14ac:dyDescent="0.3">
      <c r="A41" s="2" t="s">
        <v>3</v>
      </c>
    </row>
    <row r="42" spans="1:20" ht="12" x14ac:dyDescent="0.3">
      <c r="A42" s="2" t="s">
        <v>3</v>
      </c>
    </row>
    <row r="43" spans="1:20" ht="12" x14ac:dyDescent="0.3">
      <c r="A43" s="1" t="s">
        <v>8</v>
      </c>
    </row>
    <row r="44" spans="1:20" ht="12" x14ac:dyDescent="0.3">
      <c r="A44" s="1" t="s">
        <v>9</v>
      </c>
    </row>
    <row r="45" spans="1:20" ht="12" x14ac:dyDescent="0.3">
      <c r="A45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2"/>
  <sheetViews>
    <sheetView workbookViewId="0">
      <selection activeCell="H23" sqref="H23"/>
    </sheetView>
  </sheetViews>
  <sheetFormatPr defaultColWidth="10.3984375" defaultRowHeight="11.5" x14ac:dyDescent="0.25"/>
  <cols>
    <col min="1" max="1" width="22.3984375" customWidth="1"/>
    <col min="2" max="2" width="60.5" customWidth="1"/>
    <col min="3" max="3" width="11.69921875" customWidth="1"/>
    <col min="4" max="4" width="4.5" customWidth="1"/>
  </cols>
  <sheetData>
    <row r="1" spans="1:4" ht="12" x14ac:dyDescent="0.3">
      <c r="A1" s="1" t="s">
        <v>0</v>
      </c>
    </row>
    <row r="2" spans="1:4" ht="12" x14ac:dyDescent="0.3">
      <c r="A2" s="1" t="s">
        <v>1</v>
      </c>
    </row>
    <row r="3" spans="1:4" ht="12" x14ac:dyDescent="0.3">
      <c r="A3" s="1" t="s">
        <v>2</v>
      </c>
    </row>
    <row r="4" spans="1:4" ht="12" x14ac:dyDescent="0.3">
      <c r="A4" s="2" t="s">
        <v>3</v>
      </c>
    </row>
    <row r="5" spans="1:4" ht="12" x14ac:dyDescent="0.3">
      <c r="A5" s="1" t="s">
        <v>87</v>
      </c>
    </row>
    <row r="6" spans="1:4" ht="12" x14ac:dyDescent="0.3">
      <c r="A6" s="2" t="s">
        <v>3</v>
      </c>
    </row>
    <row r="7" spans="1:4" ht="12" x14ac:dyDescent="0.3">
      <c r="A7" s="2" t="s">
        <v>3</v>
      </c>
    </row>
    <row r="8" spans="1:4" ht="12" x14ac:dyDescent="0.3">
      <c r="A8" s="2" t="s">
        <v>3</v>
      </c>
    </row>
    <row r="9" spans="1:4" ht="12" x14ac:dyDescent="0.3">
      <c r="A9" s="2" t="s">
        <v>3</v>
      </c>
    </row>
    <row r="10" spans="1:4" ht="12" x14ac:dyDescent="0.3">
      <c r="A10" s="2" t="s">
        <v>3</v>
      </c>
      <c r="B10" s="2" t="s">
        <v>3</v>
      </c>
      <c r="C10" s="2" t="s">
        <v>3</v>
      </c>
      <c r="D10" s="2" t="s">
        <v>3</v>
      </c>
    </row>
    <row r="11" spans="1:4" ht="12" x14ac:dyDescent="0.3">
      <c r="A11" s="3" t="s">
        <v>88</v>
      </c>
      <c r="B11" s="3" t="s">
        <v>89</v>
      </c>
      <c r="C11" s="3" t="s">
        <v>90</v>
      </c>
      <c r="D11" s="3" t="s">
        <v>91</v>
      </c>
    </row>
    <row r="12" spans="1:4" ht="12" x14ac:dyDescent="0.3">
      <c r="A12" s="2" t="s">
        <v>3</v>
      </c>
      <c r="B12" s="2" t="s">
        <v>3</v>
      </c>
      <c r="C12" s="3" t="s">
        <v>92</v>
      </c>
    </row>
    <row r="13" spans="1:4" ht="12" x14ac:dyDescent="0.3">
      <c r="A13" s="2" t="s">
        <v>3</v>
      </c>
      <c r="B13" s="2" t="s">
        <v>3</v>
      </c>
      <c r="C13" s="3" t="s">
        <v>93</v>
      </c>
    </row>
    <row r="14" spans="1:4" ht="12" x14ac:dyDescent="0.3">
      <c r="A14" s="3" t="s">
        <v>94</v>
      </c>
      <c r="B14" s="3" t="s">
        <v>95</v>
      </c>
      <c r="C14" s="4">
        <v>1995</v>
      </c>
      <c r="D14" s="5">
        <v>67</v>
      </c>
    </row>
    <row r="15" spans="1:4" ht="12" x14ac:dyDescent="0.3">
      <c r="A15" s="2" t="s">
        <v>3</v>
      </c>
      <c r="B15" s="3" t="s">
        <v>96</v>
      </c>
    </row>
    <row r="16" spans="1:4" ht="12" x14ac:dyDescent="0.3">
      <c r="A16" s="2" t="s">
        <v>3</v>
      </c>
      <c r="B16" s="3" t="s">
        <v>97</v>
      </c>
    </row>
    <row r="17" spans="1:4" ht="12" x14ac:dyDescent="0.3">
      <c r="A17" s="2" t="s">
        <v>3</v>
      </c>
      <c r="B17" s="3" t="s">
        <v>98</v>
      </c>
    </row>
    <row r="18" spans="1:4" ht="12" x14ac:dyDescent="0.3">
      <c r="A18" s="2" t="s">
        <v>3</v>
      </c>
      <c r="B18" s="3" t="s">
        <v>99</v>
      </c>
    </row>
    <row r="19" spans="1:4" ht="12" x14ac:dyDescent="0.3">
      <c r="A19" s="2" t="s">
        <v>3</v>
      </c>
      <c r="B19" s="3" t="s">
        <v>100</v>
      </c>
    </row>
    <row r="20" spans="1:4" ht="12" x14ac:dyDescent="0.3">
      <c r="A20" s="2" t="s">
        <v>3</v>
      </c>
      <c r="B20" s="3" t="s">
        <v>101</v>
      </c>
    </row>
    <row r="21" spans="1:4" ht="12" x14ac:dyDescent="0.3">
      <c r="A21" s="2" t="s">
        <v>3</v>
      </c>
      <c r="B21" s="3" t="s">
        <v>102</v>
      </c>
    </row>
    <row r="22" spans="1:4" ht="12" x14ac:dyDescent="0.3">
      <c r="A22" s="3" t="s">
        <v>103</v>
      </c>
      <c r="B22" s="3" t="s">
        <v>104</v>
      </c>
      <c r="C22" s="4">
        <v>1993</v>
      </c>
      <c r="D22" s="5">
        <v>63</v>
      </c>
    </row>
    <row r="23" spans="1:4" ht="12" x14ac:dyDescent="0.3">
      <c r="A23" s="2" t="s">
        <v>3</v>
      </c>
      <c r="B23" s="3" t="s">
        <v>105</v>
      </c>
    </row>
    <row r="24" spans="1:4" ht="12" x14ac:dyDescent="0.3">
      <c r="A24" s="2" t="s">
        <v>3</v>
      </c>
      <c r="B24" s="3" t="s">
        <v>106</v>
      </c>
    </row>
    <row r="25" spans="1:4" ht="12" x14ac:dyDescent="0.3">
      <c r="A25" s="3" t="s">
        <v>107</v>
      </c>
      <c r="B25" s="3" t="s">
        <v>101</v>
      </c>
      <c r="C25" s="4">
        <v>2018</v>
      </c>
      <c r="D25" s="5">
        <v>57</v>
      </c>
    </row>
    <row r="26" spans="1:4" ht="12" x14ac:dyDescent="0.3">
      <c r="A26" s="2" t="s">
        <v>3</v>
      </c>
      <c r="B26" s="3" t="s">
        <v>108</v>
      </c>
    </row>
    <row r="27" spans="1:4" ht="12" x14ac:dyDescent="0.3">
      <c r="A27" s="2" t="s">
        <v>3</v>
      </c>
      <c r="B27" s="3" t="s">
        <v>109</v>
      </c>
    </row>
    <row r="28" spans="1:4" ht="12" x14ac:dyDescent="0.3">
      <c r="A28" s="2" t="s">
        <v>3</v>
      </c>
      <c r="B28" s="3" t="s">
        <v>110</v>
      </c>
    </row>
    <row r="29" spans="1:4" ht="12" x14ac:dyDescent="0.3">
      <c r="A29" s="2" t="s">
        <v>3</v>
      </c>
      <c r="B29" s="6">
        <v>2018</v>
      </c>
    </row>
    <row r="30" spans="1:4" ht="12" x14ac:dyDescent="0.3">
      <c r="A30" s="2" t="s">
        <v>3</v>
      </c>
      <c r="B30" s="2" t="s">
        <v>3</v>
      </c>
    </row>
    <row r="31" spans="1:4" ht="12" x14ac:dyDescent="0.3">
      <c r="A31" s="3" t="s">
        <v>111</v>
      </c>
      <c r="B31" s="3" t="s">
        <v>112</v>
      </c>
      <c r="C31" s="4">
        <v>2019</v>
      </c>
      <c r="D31" s="5">
        <v>57</v>
      </c>
    </row>
    <row r="32" spans="1:4" ht="12" x14ac:dyDescent="0.3">
      <c r="A32" s="2" t="s">
        <v>3</v>
      </c>
      <c r="B32" s="3" t="s">
        <v>113</v>
      </c>
    </row>
    <row r="33" spans="1:4" ht="12" x14ac:dyDescent="0.3">
      <c r="A33" s="2" t="s">
        <v>3</v>
      </c>
      <c r="B33" s="3" t="s">
        <v>114</v>
      </c>
    </row>
    <row r="34" spans="1:4" ht="12" x14ac:dyDescent="0.3">
      <c r="A34" s="2" t="s">
        <v>3</v>
      </c>
      <c r="B34" s="3" t="s">
        <v>115</v>
      </c>
    </row>
    <row r="35" spans="1:4" ht="12" x14ac:dyDescent="0.3">
      <c r="A35" s="3" t="s">
        <v>116</v>
      </c>
      <c r="B35" s="3" t="s">
        <v>101</v>
      </c>
      <c r="C35" s="4">
        <v>2018</v>
      </c>
      <c r="D35" s="5">
        <v>62</v>
      </c>
    </row>
    <row r="36" spans="1:4" ht="12" x14ac:dyDescent="0.3">
      <c r="A36" s="2" t="s">
        <v>3</v>
      </c>
      <c r="B36" s="3" t="s">
        <v>117</v>
      </c>
    </row>
    <row r="37" spans="1:4" ht="12" x14ac:dyDescent="0.3">
      <c r="A37" s="2" t="s">
        <v>3</v>
      </c>
      <c r="B37" s="3" t="s">
        <v>118</v>
      </c>
    </row>
    <row r="38" spans="1:4" ht="12" x14ac:dyDescent="0.3">
      <c r="A38" s="2" t="s">
        <v>3</v>
      </c>
      <c r="B38" s="3" t="s">
        <v>119</v>
      </c>
    </row>
    <row r="39" spans="1:4" ht="12" x14ac:dyDescent="0.3">
      <c r="A39" s="3" t="s">
        <v>120</v>
      </c>
      <c r="B39" s="3" t="s">
        <v>121</v>
      </c>
      <c r="C39" s="4">
        <v>2001</v>
      </c>
      <c r="D39" s="5">
        <v>68</v>
      </c>
    </row>
    <row r="40" spans="1:4" ht="12" x14ac:dyDescent="0.3">
      <c r="A40" s="2" t="s">
        <v>3</v>
      </c>
      <c r="B40" s="3" t="s">
        <v>122</v>
      </c>
    </row>
    <row r="41" spans="1:4" ht="12" x14ac:dyDescent="0.3">
      <c r="A41" s="2" t="s">
        <v>3</v>
      </c>
      <c r="B41" s="3" t="s">
        <v>123</v>
      </c>
    </row>
    <row r="42" spans="1:4" ht="12" x14ac:dyDescent="0.3">
      <c r="A42" s="2" t="s">
        <v>3</v>
      </c>
      <c r="B42" s="3" t="s">
        <v>124</v>
      </c>
    </row>
    <row r="43" spans="1:4" ht="12" x14ac:dyDescent="0.3">
      <c r="A43" s="3" t="s">
        <v>125</v>
      </c>
      <c r="B43" s="3" t="s">
        <v>101</v>
      </c>
      <c r="C43" s="4">
        <v>2011</v>
      </c>
      <c r="D43" s="5">
        <v>66</v>
      </c>
    </row>
    <row r="44" spans="1:4" ht="12" x14ac:dyDescent="0.3">
      <c r="A44" s="2" t="s">
        <v>3</v>
      </c>
      <c r="B44" s="3" t="s">
        <v>126</v>
      </c>
    </row>
    <row r="45" spans="1:4" ht="12" x14ac:dyDescent="0.3">
      <c r="A45" s="2" t="s">
        <v>3</v>
      </c>
      <c r="B45" s="3" t="s">
        <v>127</v>
      </c>
    </row>
    <row r="46" spans="1:4" ht="12" x14ac:dyDescent="0.3">
      <c r="A46" s="2" t="s">
        <v>3</v>
      </c>
      <c r="B46" s="3" t="s">
        <v>128</v>
      </c>
    </row>
    <row r="47" spans="1:4" ht="12" x14ac:dyDescent="0.3">
      <c r="A47" s="3" t="s">
        <v>129</v>
      </c>
      <c r="B47" s="3" t="s">
        <v>101</v>
      </c>
      <c r="C47" s="4">
        <v>1994</v>
      </c>
      <c r="D47" s="5">
        <v>67</v>
      </c>
    </row>
    <row r="48" spans="1:4" ht="12" x14ac:dyDescent="0.3">
      <c r="A48" s="2" t="s">
        <v>3</v>
      </c>
      <c r="B48" s="3" t="s">
        <v>130</v>
      </c>
    </row>
    <row r="49" spans="1:4" ht="12" x14ac:dyDescent="0.3">
      <c r="A49" s="2" t="s">
        <v>3</v>
      </c>
      <c r="B49" s="3" t="s">
        <v>131</v>
      </c>
    </row>
    <row r="50" spans="1:4" ht="12" x14ac:dyDescent="0.3">
      <c r="A50" s="2" t="s">
        <v>3</v>
      </c>
      <c r="B50" s="3" t="s">
        <v>132</v>
      </c>
    </row>
    <row r="51" spans="1:4" ht="12" x14ac:dyDescent="0.3">
      <c r="A51" s="2" t="s">
        <v>3</v>
      </c>
      <c r="B51" s="3" t="s">
        <v>133</v>
      </c>
    </row>
    <row r="52" spans="1:4" ht="12" x14ac:dyDescent="0.3">
      <c r="A52" s="3" t="s">
        <v>134</v>
      </c>
      <c r="B52" s="3" t="s">
        <v>135</v>
      </c>
      <c r="C52" s="4">
        <v>2013</v>
      </c>
      <c r="D52" s="5">
        <v>67</v>
      </c>
    </row>
    <row r="53" spans="1:4" ht="12" x14ac:dyDescent="0.3">
      <c r="A53" s="2" t="s">
        <v>3</v>
      </c>
      <c r="B53" s="3" t="s">
        <v>136</v>
      </c>
    </row>
    <row r="54" spans="1:4" ht="12" x14ac:dyDescent="0.3">
      <c r="A54" s="2" t="s">
        <v>3</v>
      </c>
      <c r="B54" s="3" t="s">
        <v>137</v>
      </c>
    </row>
    <row r="55" spans="1:4" ht="12" x14ac:dyDescent="0.3">
      <c r="A55" s="2" t="s">
        <v>3</v>
      </c>
      <c r="B55" s="3" t="s">
        <v>138</v>
      </c>
    </row>
    <row r="56" spans="1:4" ht="12" x14ac:dyDescent="0.3">
      <c r="A56" s="2" t="s">
        <v>3</v>
      </c>
      <c r="B56" s="3" t="s">
        <v>139</v>
      </c>
    </row>
    <row r="57" spans="1:4" ht="12" x14ac:dyDescent="0.3">
      <c r="A57" s="3" t="s">
        <v>140</v>
      </c>
      <c r="B57" s="3" t="s">
        <v>101</v>
      </c>
      <c r="C57" s="4">
        <v>2016</v>
      </c>
      <c r="D57" s="5">
        <v>54</v>
      </c>
    </row>
    <row r="58" spans="1:4" ht="12" x14ac:dyDescent="0.3">
      <c r="A58" s="2" t="s">
        <v>3</v>
      </c>
      <c r="B58" s="3" t="s">
        <v>141</v>
      </c>
    </row>
    <row r="59" spans="1:4" ht="12" x14ac:dyDescent="0.3">
      <c r="A59" s="2" t="s">
        <v>3</v>
      </c>
      <c r="B59" s="3" t="s">
        <v>142</v>
      </c>
    </row>
    <row r="60" spans="1:4" ht="12" x14ac:dyDescent="0.3">
      <c r="A60" s="1" t="s">
        <v>8</v>
      </c>
    </row>
    <row r="61" spans="1:4" ht="12" x14ac:dyDescent="0.3">
      <c r="A61" s="1" t="s">
        <v>9</v>
      </c>
    </row>
    <row r="62" spans="1:4" ht="12" x14ac:dyDescent="0.3">
      <c r="A62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K36"/>
  <sheetViews>
    <sheetView workbookViewId="0">
      <selection activeCell="H23" sqref="H23"/>
    </sheetView>
  </sheetViews>
  <sheetFormatPr defaultColWidth="10.3984375" defaultRowHeight="11.5" x14ac:dyDescent="0.25"/>
  <cols>
    <col min="1" max="1" width="9.296875" customWidth="1"/>
    <col min="2" max="2" width="9.09765625" customWidth="1"/>
    <col min="3" max="3" width="59.296875" customWidth="1"/>
    <col min="4" max="4" width="9.09765625" customWidth="1"/>
    <col min="5" max="5" width="10.5" customWidth="1"/>
    <col min="6" max="6" width="9.09765625" customWidth="1"/>
    <col min="7" max="7" width="8.09765625" customWidth="1"/>
    <col min="8" max="8" width="9.09765625" customWidth="1"/>
    <col min="9" max="9" width="15.19921875" customWidth="1"/>
    <col min="10" max="10" width="9.09765625" customWidth="1"/>
    <col min="11" max="11" width="14" customWidth="1"/>
  </cols>
  <sheetData>
    <row r="1" spans="1:11" ht="12" x14ac:dyDescent="0.3">
      <c r="A1" s="1" t="s">
        <v>0</v>
      </c>
    </row>
    <row r="2" spans="1:11" ht="12" x14ac:dyDescent="0.3">
      <c r="A2" s="1" t="s">
        <v>1</v>
      </c>
    </row>
    <row r="3" spans="1:11" ht="12" x14ac:dyDescent="0.3">
      <c r="A3" s="1" t="s">
        <v>2</v>
      </c>
    </row>
    <row r="4" spans="1:11" ht="12" x14ac:dyDescent="0.3">
      <c r="A4" s="2" t="s">
        <v>3</v>
      </c>
    </row>
    <row r="5" spans="1:11" ht="12" x14ac:dyDescent="0.3">
      <c r="A5" s="1" t="s">
        <v>587</v>
      </c>
    </row>
    <row r="6" spans="1:11" ht="12" x14ac:dyDescent="0.3">
      <c r="A6" s="2" t="s">
        <v>3</v>
      </c>
    </row>
    <row r="7" spans="1:11" ht="12" x14ac:dyDescent="0.3">
      <c r="A7" s="2" t="s">
        <v>3</v>
      </c>
    </row>
    <row r="8" spans="1:11" ht="12" x14ac:dyDescent="0.3">
      <c r="A8" s="2" t="s">
        <v>3</v>
      </c>
    </row>
    <row r="9" spans="1:11" ht="12" x14ac:dyDescent="0.3">
      <c r="A9" s="2" t="s">
        <v>3</v>
      </c>
    </row>
    <row r="10" spans="1:11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</row>
    <row r="11" spans="1:11" ht="12" x14ac:dyDescent="0.3">
      <c r="A11" s="2" t="s">
        <v>3</v>
      </c>
      <c r="B11" s="2" t="s">
        <v>3</v>
      </c>
      <c r="C11" s="2" t="s">
        <v>3</v>
      </c>
      <c r="D11" s="2" t="s">
        <v>3</v>
      </c>
      <c r="E11" s="2" t="s">
        <v>3</v>
      </c>
      <c r="F11" s="2" t="s">
        <v>3</v>
      </c>
      <c r="G11" s="3" t="s">
        <v>588</v>
      </c>
    </row>
    <row r="12" spans="1:11" ht="12" x14ac:dyDescent="0.3">
      <c r="A12" s="3" t="s">
        <v>589</v>
      </c>
      <c r="B12" s="2" t="s">
        <v>3</v>
      </c>
      <c r="C12" s="3" t="s">
        <v>590</v>
      </c>
      <c r="D12" s="2" t="s">
        <v>3</v>
      </c>
      <c r="E12" s="3" t="s">
        <v>591</v>
      </c>
      <c r="F12" s="2" t="s">
        <v>3</v>
      </c>
      <c r="G12" s="3" t="s">
        <v>592</v>
      </c>
      <c r="H12" s="2" t="s">
        <v>3</v>
      </c>
      <c r="I12" s="3" t="s">
        <v>593</v>
      </c>
      <c r="J12" s="2" t="s">
        <v>3</v>
      </c>
      <c r="K12" s="3" t="s">
        <v>594</v>
      </c>
    </row>
    <row r="13" spans="1:11" ht="12" x14ac:dyDescent="0.3">
      <c r="A13" s="3" t="s">
        <v>595</v>
      </c>
      <c r="B13" s="2" t="s">
        <v>3</v>
      </c>
      <c r="C13" s="2" t="s">
        <v>3</v>
      </c>
      <c r="D13" s="2" t="s">
        <v>3</v>
      </c>
      <c r="E13" s="3" t="s">
        <v>596</v>
      </c>
    </row>
    <row r="14" spans="1:11" ht="12" x14ac:dyDescent="0.3">
      <c r="A14" s="2" t="s">
        <v>3</v>
      </c>
      <c r="B14" s="2" t="s">
        <v>3</v>
      </c>
      <c r="C14" s="2" t="s">
        <v>3</v>
      </c>
      <c r="D14" s="2" t="s">
        <v>3</v>
      </c>
      <c r="E14" s="2" t="s">
        <v>3</v>
      </c>
      <c r="F14" s="2" t="s">
        <v>3</v>
      </c>
      <c r="G14" s="2" t="s">
        <v>3</v>
      </c>
      <c r="H14" s="2" t="s">
        <v>3</v>
      </c>
      <c r="I14" s="2" t="s">
        <v>3</v>
      </c>
      <c r="J14" s="2" t="s">
        <v>3</v>
      </c>
      <c r="K14" s="2" t="s">
        <v>3</v>
      </c>
    </row>
    <row r="15" spans="1:11" ht="12" x14ac:dyDescent="0.3">
      <c r="A15" s="6">
        <v>3.1</v>
      </c>
      <c r="B15" s="2" t="s">
        <v>3</v>
      </c>
      <c r="C15" s="3" t="s">
        <v>597</v>
      </c>
      <c r="D15" s="2" t="s">
        <v>3</v>
      </c>
      <c r="E15" s="2" t="s">
        <v>3</v>
      </c>
      <c r="F15" s="2" t="s">
        <v>3</v>
      </c>
      <c r="G15" s="3" t="s">
        <v>598</v>
      </c>
      <c r="H15" s="2" t="s">
        <v>3</v>
      </c>
      <c r="I15" s="3" t="s">
        <v>599</v>
      </c>
      <c r="J15" s="2" t="s">
        <v>3</v>
      </c>
      <c r="K15" s="3" t="s">
        <v>600</v>
      </c>
    </row>
    <row r="16" spans="1:11" ht="12" x14ac:dyDescent="0.3">
      <c r="A16" s="2" t="s">
        <v>3</v>
      </c>
      <c r="B16" s="2" t="s">
        <v>3</v>
      </c>
      <c r="C16" s="3" t="s">
        <v>11</v>
      </c>
    </row>
    <row r="17" spans="1:11" ht="12" x14ac:dyDescent="0.3">
      <c r="A17" s="2" t="s">
        <v>3</v>
      </c>
      <c r="B17" s="2" t="s">
        <v>3</v>
      </c>
      <c r="C17" s="2" t="s">
        <v>3</v>
      </c>
      <c r="D17" s="2" t="s">
        <v>3</v>
      </c>
      <c r="E17" s="2" t="s">
        <v>3</v>
      </c>
      <c r="F17" s="2" t="s">
        <v>3</v>
      </c>
      <c r="G17" s="2" t="s">
        <v>3</v>
      </c>
      <c r="H17" s="2" t="s">
        <v>3</v>
      </c>
      <c r="I17" s="2" t="s">
        <v>3</v>
      </c>
      <c r="J17" s="2" t="s">
        <v>3</v>
      </c>
      <c r="K17" s="2" t="s">
        <v>3</v>
      </c>
    </row>
    <row r="18" spans="1:11" ht="12" x14ac:dyDescent="0.3">
      <c r="A18" s="6">
        <v>3.2</v>
      </c>
      <c r="B18" s="2" t="s">
        <v>3</v>
      </c>
      <c r="C18" s="3" t="s">
        <v>601</v>
      </c>
      <c r="D18" s="2" t="s">
        <v>3</v>
      </c>
      <c r="E18" s="2" t="s">
        <v>3</v>
      </c>
      <c r="F18" s="2" t="s">
        <v>3</v>
      </c>
      <c r="G18" s="3" t="s">
        <v>602</v>
      </c>
      <c r="H18" s="2" t="s">
        <v>3</v>
      </c>
      <c r="I18" s="2" t="s">
        <v>3</v>
      </c>
      <c r="J18" s="2" t="s">
        <v>3</v>
      </c>
      <c r="K18" s="3" t="s">
        <v>603</v>
      </c>
    </row>
    <row r="19" spans="1:11" ht="12" x14ac:dyDescent="0.3">
      <c r="A19" s="2" t="s">
        <v>3</v>
      </c>
      <c r="B19" s="2" t="s">
        <v>3</v>
      </c>
      <c r="C19" s="2" t="s">
        <v>3</v>
      </c>
      <c r="D19" s="2" t="s">
        <v>3</v>
      </c>
      <c r="E19" s="2" t="s">
        <v>3</v>
      </c>
      <c r="F19" s="2" t="s">
        <v>3</v>
      </c>
      <c r="G19" s="2" t="s">
        <v>3</v>
      </c>
      <c r="H19" s="2" t="s">
        <v>3</v>
      </c>
      <c r="I19" s="2" t="s">
        <v>3</v>
      </c>
      <c r="J19" s="2" t="s">
        <v>3</v>
      </c>
      <c r="K19" s="2" t="s">
        <v>3</v>
      </c>
    </row>
    <row r="20" spans="1:11" ht="12" x14ac:dyDescent="0.3">
      <c r="A20" s="6">
        <v>4.0999999999999996</v>
      </c>
      <c r="B20" s="2" t="s">
        <v>3</v>
      </c>
      <c r="C20" s="3" t="s">
        <v>604</v>
      </c>
      <c r="D20" s="2" t="s">
        <v>3</v>
      </c>
      <c r="E20" s="2" t="s">
        <v>3</v>
      </c>
      <c r="F20" s="2" t="s">
        <v>3</v>
      </c>
      <c r="G20" s="3" t="s">
        <v>602</v>
      </c>
      <c r="H20" s="2" t="s">
        <v>3</v>
      </c>
      <c r="I20" s="2" t="s">
        <v>3</v>
      </c>
      <c r="J20" s="2" t="s">
        <v>3</v>
      </c>
      <c r="K20" s="3" t="s">
        <v>605</v>
      </c>
    </row>
    <row r="21" spans="1:11" ht="12" x14ac:dyDescent="0.3">
      <c r="A21" s="2" t="s">
        <v>3</v>
      </c>
      <c r="B21" s="2" t="s">
        <v>3</v>
      </c>
      <c r="C21" s="2" t="s">
        <v>3</v>
      </c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2" t="s">
        <v>3</v>
      </c>
    </row>
    <row r="22" spans="1:11" ht="12" x14ac:dyDescent="0.3">
      <c r="A22" s="6">
        <v>4.2</v>
      </c>
      <c r="B22" s="2" t="s">
        <v>3</v>
      </c>
      <c r="C22" s="3" t="s">
        <v>606</v>
      </c>
      <c r="D22" s="2" t="s">
        <v>3</v>
      </c>
      <c r="E22" s="2" t="s">
        <v>3</v>
      </c>
      <c r="F22" s="2" t="s">
        <v>3</v>
      </c>
      <c r="G22" s="3" t="s">
        <v>602</v>
      </c>
      <c r="H22" s="2" t="s">
        <v>3</v>
      </c>
      <c r="I22" s="2" t="s">
        <v>3</v>
      </c>
      <c r="J22" s="2" t="s">
        <v>3</v>
      </c>
      <c r="K22" s="3" t="s">
        <v>605</v>
      </c>
    </row>
    <row r="23" spans="1:11" ht="12" x14ac:dyDescent="0.3">
      <c r="A23" s="2" t="s">
        <v>3</v>
      </c>
      <c r="B23" s="2" t="s">
        <v>3</v>
      </c>
      <c r="C23" s="2" t="s">
        <v>3</v>
      </c>
      <c r="D23" s="2" t="s">
        <v>3</v>
      </c>
      <c r="E23" s="2" t="s">
        <v>3</v>
      </c>
      <c r="F23" s="2" t="s">
        <v>3</v>
      </c>
      <c r="G23" s="2" t="s">
        <v>3</v>
      </c>
      <c r="H23" s="2" t="s">
        <v>3</v>
      </c>
      <c r="I23" s="2" t="s">
        <v>3</v>
      </c>
      <c r="J23" s="2" t="s">
        <v>3</v>
      </c>
      <c r="K23" s="2" t="s">
        <v>3</v>
      </c>
    </row>
    <row r="24" spans="1:11" ht="12" x14ac:dyDescent="0.3">
      <c r="A24" s="6">
        <v>4.3</v>
      </c>
      <c r="B24" s="2" t="s">
        <v>3</v>
      </c>
      <c r="C24" s="3" t="s">
        <v>607</v>
      </c>
      <c r="D24" s="2" t="s">
        <v>3</v>
      </c>
      <c r="E24" s="2" t="s">
        <v>3</v>
      </c>
      <c r="F24" s="2" t="s">
        <v>3</v>
      </c>
      <c r="G24" s="3" t="s">
        <v>602</v>
      </c>
      <c r="H24" s="2" t="s">
        <v>3</v>
      </c>
      <c r="I24" s="2" t="s">
        <v>3</v>
      </c>
      <c r="J24" s="2" t="s">
        <v>3</v>
      </c>
      <c r="K24" s="3" t="s">
        <v>605</v>
      </c>
    </row>
    <row r="25" spans="1:11" ht="12" x14ac:dyDescent="0.3">
      <c r="A25" s="2" t="s">
        <v>3</v>
      </c>
      <c r="B25" s="2" t="s">
        <v>3</v>
      </c>
      <c r="C25" s="2" t="s">
        <v>3</v>
      </c>
      <c r="D25" s="2" t="s">
        <v>3</v>
      </c>
      <c r="E25" s="2" t="s">
        <v>3</v>
      </c>
      <c r="F25" s="2" t="s">
        <v>3</v>
      </c>
      <c r="G25" s="2" t="s">
        <v>3</v>
      </c>
      <c r="H25" s="2" t="s">
        <v>3</v>
      </c>
      <c r="I25" s="2" t="s">
        <v>3</v>
      </c>
      <c r="J25" s="2" t="s">
        <v>3</v>
      </c>
      <c r="K25" s="2" t="s">
        <v>3</v>
      </c>
    </row>
    <row r="26" spans="1:11" ht="12" x14ac:dyDescent="0.3">
      <c r="A26" s="6">
        <v>4.4000000000000004</v>
      </c>
      <c r="B26" s="2" t="s">
        <v>3</v>
      </c>
      <c r="C26" s="3" t="s">
        <v>608</v>
      </c>
      <c r="D26" s="2" t="s">
        <v>3</v>
      </c>
      <c r="E26" s="2" t="s">
        <v>3</v>
      </c>
      <c r="F26" s="2" t="s">
        <v>3</v>
      </c>
      <c r="G26" s="3" t="s">
        <v>602</v>
      </c>
      <c r="H26" s="2" t="s">
        <v>3</v>
      </c>
      <c r="I26" s="2" t="s">
        <v>3</v>
      </c>
      <c r="J26" s="2" t="s">
        <v>3</v>
      </c>
      <c r="K26" s="3" t="s">
        <v>605</v>
      </c>
    </row>
    <row r="27" spans="1:11" ht="12" x14ac:dyDescent="0.3">
      <c r="A27" s="2" t="s">
        <v>3</v>
      </c>
      <c r="B27" s="2" t="s">
        <v>3</v>
      </c>
      <c r="C27" s="2" t="s">
        <v>3</v>
      </c>
      <c r="D27" s="2" t="s">
        <v>3</v>
      </c>
      <c r="E27" s="2" t="s">
        <v>3</v>
      </c>
      <c r="F27" s="2" t="s">
        <v>3</v>
      </c>
      <c r="G27" s="2" t="s">
        <v>3</v>
      </c>
      <c r="H27" s="2" t="s">
        <v>3</v>
      </c>
      <c r="I27" s="2" t="s">
        <v>3</v>
      </c>
      <c r="J27" s="2" t="s">
        <v>3</v>
      </c>
      <c r="K27" s="2" t="s">
        <v>3</v>
      </c>
    </row>
    <row r="28" spans="1:11" ht="12" x14ac:dyDescent="0.3">
      <c r="A28" s="3" t="s">
        <v>609</v>
      </c>
      <c r="B28" s="2" t="s">
        <v>3</v>
      </c>
      <c r="C28" s="3" t="s">
        <v>610</v>
      </c>
      <c r="D28" s="2" t="s">
        <v>3</v>
      </c>
      <c r="E28" s="2" t="s">
        <v>3</v>
      </c>
      <c r="F28" s="2" t="s">
        <v>3</v>
      </c>
      <c r="G28" s="3" t="s">
        <v>1</v>
      </c>
      <c r="H28" s="2" t="s">
        <v>3</v>
      </c>
      <c r="I28" s="3" t="s">
        <v>611</v>
      </c>
      <c r="J28" s="2" t="s">
        <v>3</v>
      </c>
      <c r="K28" s="3" t="s">
        <v>612</v>
      </c>
    </row>
    <row r="29" spans="1:11" ht="12" x14ac:dyDescent="0.3">
      <c r="A29" s="2" t="s">
        <v>3</v>
      </c>
      <c r="B29" s="2" t="s">
        <v>3</v>
      </c>
      <c r="C29" s="2" t="s">
        <v>3</v>
      </c>
      <c r="D29" s="2" t="s">
        <v>3</v>
      </c>
      <c r="E29" s="2" t="s">
        <v>3</v>
      </c>
      <c r="F29" s="2" t="s">
        <v>3</v>
      </c>
      <c r="G29" s="2" t="s">
        <v>3</v>
      </c>
      <c r="H29" s="2" t="s">
        <v>3</v>
      </c>
      <c r="I29" s="2" t="s">
        <v>3</v>
      </c>
      <c r="J29" s="2" t="s">
        <v>3</v>
      </c>
      <c r="K29" s="2" t="s">
        <v>3</v>
      </c>
    </row>
    <row r="30" spans="1:11" ht="12" x14ac:dyDescent="0.3">
      <c r="A30" s="3" t="s">
        <v>613</v>
      </c>
      <c r="B30" s="2" t="s">
        <v>3</v>
      </c>
      <c r="C30" s="3" t="s">
        <v>614</v>
      </c>
      <c r="D30" s="2" t="s">
        <v>3</v>
      </c>
      <c r="E30" s="2" t="s">
        <v>3</v>
      </c>
      <c r="F30" s="2" t="s">
        <v>3</v>
      </c>
      <c r="G30" s="3" t="s">
        <v>615</v>
      </c>
      <c r="H30" s="2" t="s">
        <v>3</v>
      </c>
      <c r="I30" s="2" t="s">
        <v>3</v>
      </c>
      <c r="J30" s="2" t="s">
        <v>3</v>
      </c>
      <c r="K30" s="3" t="s">
        <v>616</v>
      </c>
    </row>
    <row r="31" spans="1:11" ht="12" x14ac:dyDescent="0.3">
      <c r="A31" s="2" t="s">
        <v>3</v>
      </c>
      <c r="B31" s="2" t="s">
        <v>3</v>
      </c>
      <c r="C31" s="2" t="s">
        <v>3</v>
      </c>
      <c r="D31" s="2" t="s">
        <v>3</v>
      </c>
      <c r="E31" s="2" t="s">
        <v>3</v>
      </c>
      <c r="F31" s="2" t="s">
        <v>3</v>
      </c>
      <c r="G31" s="2" t="s">
        <v>3</v>
      </c>
      <c r="H31" s="2" t="s">
        <v>3</v>
      </c>
      <c r="I31" s="2" t="s">
        <v>3</v>
      </c>
      <c r="J31" s="2" t="s">
        <v>3</v>
      </c>
      <c r="K31" s="2" t="s">
        <v>3</v>
      </c>
    </row>
    <row r="32" spans="1:11" ht="12" x14ac:dyDescent="0.3">
      <c r="A32" s="2" t="s">
        <v>3</v>
      </c>
    </row>
    <row r="33" spans="1:1" ht="12" x14ac:dyDescent="0.3">
      <c r="A33" s="2" t="s">
        <v>3</v>
      </c>
    </row>
    <row r="34" spans="1:1" ht="12" x14ac:dyDescent="0.3">
      <c r="A34" s="1" t="s">
        <v>8</v>
      </c>
    </row>
    <row r="35" spans="1:1" ht="12" x14ac:dyDescent="0.3">
      <c r="A35" s="1" t="s">
        <v>9</v>
      </c>
    </row>
    <row r="36" spans="1:1" ht="12" x14ac:dyDescent="0.3">
      <c r="A36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K67"/>
  <sheetViews>
    <sheetView workbookViewId="0">
      <selection activeCell="H23" sqref="H23"/>
    </sheetView>
  </sheetViews>
  <sheetFormatPr defaultColWidth="10.3984375" defaultRowHeight="11.5" x14ac:dyDescent="0.25"/>
  <cols>
    <col min="1" max="1" width="10.5" customWidth="1"/>
    <col min="2" max="2" width="9.09765625" customWidth="1"/>
    <col min="3" max="3" width="67.59765625" customWidth="1"/>
    <col min="4" max="4" width="9.09765625" customWidth="1"/>
    <col min="5" max="5" width="10.5" customWidth="1"/>
    <col min="6" max="6" width="9.09765625" customWidth="1"/>
    <col min="7" max="7" width="9.296875" customWidth="1"/>
    <col min="8" max="8" width="9.09765625" customWidth="1"/>
    <col min="9" max="9" width="15.19921875" customWidth="1"/>
    <col min="10" max="10" width="9.09765625" customWidth="1"/>
    <col min="11" max="11" width="14" customWidth="1"/>
  </cols>
  <sheetData>
    <row r="1" spans="1:11" ht="12" x14ac:dyDescent="0.3">
      <c r="A1" s="1" t="s">
        <v>0</v>
      </c>
    </row>
    <row r="2" spans="1:11" ht="12" x14ac:dyDescent="0.3">
      <c r="A2" s="1" t="s">
        <v>1</v>
      </c>
    </row>
    <row r="3" spans="1:11" ht="12" x14ac:dyDescent="0.3">
      <c r="A3" s="1" t="s">
        <v>2</v>
      </c>
    </row>
    <row r="4" spans="1:11" ht="12" x14ac:dyDescent="0.3">
      <c r="A4" s="2" t="s">
        <v>3</v>
      </c>
    </row>
    <row r="5" spans="1:11" ht="12" x14ac:dyDescent="0.3">
      <c r="A5" s="1" t="s">
        <v>587</v>
      </c>
    </row>
    <row r="6" spans="1:11" ht="12" x14ac:dyDescent="0.3">
      <c r="A6" s="2" t="s">
        <v>3</v>
      </c>
    </row>
    <row r="7" spans="1:11" ht="12" x14ac:dyDescent="0.3">
      <c r="A7" s="2" t="s">
        <v>3</v>
      </c>
    </row>
    <row r="8" spans="1:11" ht="12" x14ac:dyDescent="0.3">
      <c r="A8" s="2" t="s">
        <v>3</v>
      </c>
    </row>
    <row r="9" spans="1:11" ht="12" x14ac:dyDescent="0.3">
      <c r="A9" s="2" t="s">
        <v>3</v>
      </c>
    </row>
    <row r="10" spans="1:11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</row>
    <row r="11" spans="1:11" ht="12" x14ac:dyDescent="0.3">
      <c r="A11" s="2" t="s">
        <v>3</v>
      </c>
      <c r="B11" s="2" t="s">
        <v>3</v>
      </c>
      <c r="C11" s="2" t="s">
        <v>3</v>
      </c>
      <c r="D11" s="2" t="s">
        <v>3</v>
      </c>
      <c r="E11" s="2" t="s">
        <v>3</v>
      </c>
      <c r="F11" s="2" t="s">
        <v>3</v>
      </c>
      <c r="G11" s="3" t="s">
        <v>588</v>
      </c>
    </row>
    <row r="12" spans="1:11" ht="12" x14ac:dyDescent="0.3">
      <c r="A12" s="3" t="s">
        <v>589</v>
      </c>
      <c r="B12" s="2" t="s">
        <v>3</v>
      </c>
      <c r="C12" s="3" t="s">
        <v>590</v>
      </c>
      <c r="D12" s="2" t="s">
        <v>3</v>
      </c>
      <c r="E12" s="3" t="s">
        <v>591</v>
      </c>
      <c r="F12" s="2" t="s">
        <v>3</v>
      </c>
      <c r="G12" s="3" t="s">
        <v>592</v>
      </c>
      <c r="H12" s="2" t="s">
        <v>3</v>
      </c>
      <c r="I12" s="3" t="s">
        <v>593</v>
      </c>
      <c r="J12" s="2" t="s">
        <v>3</v>
      </c>
      <c r="K12" s="3" t="s">
        <v>594</v>
      </c>
    </row>
    <row r="13" spans="1:11" ht="12" x14ac:dyDescent="0.3">
      <c r="A13" s="3" t="s">
        <v>595</v>
      </c>
      <c r="B13" s="2" t="s">
        <v>3</v>
      </c>
      <c r="C13" s="2" t="s">
        <v>3</v>
      </c>
      <c r="D13" s="2" t="s">
        <v>3</v>
      </c>
      <c r="E13" s="3" t="s">
        <v>596</v>
      </c>
    </row>
    <row r="14" spans="1:11" ht="12" x14ac:dyDescent="0.3">
      <c r="A14" s="3" t="s">
        <v>617</v>
      </c>
      <c r="B14" s="2" t="s">
        <v>3</v>
      </c>
      <c r="C14" s="3" t="s">
        <v>618</v>
      </c>
      <c r="D14" s="2" t="s">
        <v>3</v>
      </c>
      <c r="E14" s="2" t="s">
        <v>3</v>
      </c>
      <c r="F14" s="2" t="s">
        <v>3</v>
      </c>
      <c r="G14" s="3" t="s">
        <v>619</v>
      </c>
      <c r="H14" s="2" t="s">
        <v>3</v>
      </c>
      <c r="I14" s="2" t="s">
        <v>3</v>
      </c>
      <c r="J14" s="2" t="s">
        <v>3</v>
      </c>
      <c r="K14" s="3" t="s">
        <v>620</v>
      </c>
    </row>
    <row r="15" spans="1:11" ht="12" x14ac:dyDescent="0.3">
      <c r="A15" s="2" t="s">
        <v>3</v>
      </c>
      <c r="B15" s="2" t="s">
        <v>3</v>
      </c>
      <c r="C15" s="3" t="s">
        <v>621</v>
      </c>
    </row>
    <row r="16" spans="1:11" ht="12" x14ac:dyDescent="0.3">
      <c r="A16" s="2" t="s">
        <v>3</v>
      </c>
      <c r="B16" s="2" t="s">
        <v>3</v>
      </c>
      <c r="C16" s="2" t="s">
        <v>3</v>
      </c>
      <c r="D16" s="2" t="s">
        <v>3</v>
      </c>
      <c r="E16" s="2" t="s">
        <v>3</v>
      </c>
      <c r="F16" s="2" t="s">
        <v>3</v>
      </c>
      <c r="G16" s="2" t="s">
        <v>3</v>
      </c>
      <c r="H16" s="2" t="s">
        <v>3</v>
      </c>
      <c r="I16" s="2" t="s">
        <v>3</v>
      </c>
      <c r="J16" s="2" t="s">
        <v>3</v>
      </c>
      <c r="K16" s="2" t="s">
        <v>3</v>
      </c>
    </row>
    <row r="17" spans="1:11" ht="12" x14ac:dyDescent="0.3">
      <c r="A17" s="3" t="s">
        <v>622</v>
      </c>
      <c r="B17" s="2" t="s">
        <v>3</v>
      </c>
      <c r="C17" s="3" t="s">
        <v>618</v>
      </c>
      <c r="D17" s="2" t="s">
        <v>3</v>
      </c>
      <c r="E17" s="2" t="s">
        <v>3</v>
      </c>
      <c r="F17" s="2" t="s">
        <v>3</v>
      </c>
      <c r="G17" s="3" t="s">
        <v>598</v>
      </c>
      <c r="H17" s="2" t="s">
        <v>3</v>
      </c>
      <c r="I17" s="3" t="s">
        <v>623</v>
      </c>
      <c r="J17" s="2" t="s">
        <v>3</v>
      </c>
      <c r="K17" s="3" t="s">
        <v>624</v>
      </c>
    </row>
    <row r="18" spans="1:11" ht="12" x14ac:dyDescent="0.3">
      <c r="A18" s="2" t="s">
        <v>3</v>
      </c>
      <c r="B18" s="2" t="s">
        <v>3</v>
      </c>
      <c r="C18" s="3" t="s">
        <v>625</v>
      </c>
    </row>
    <row r="19" spans="1:11" ht="12" x14ac:dyDescent="0.3">
      <c r="A19" s="2" t="s">
        <v>3</v>
      </c>
      <c r="B19" s="2" t="s">
        <v>3</v>
      </c>
      <c r="C19" s="3" t="s">
        <v>626</v>
      </c>
    </row>
    <row r="20" spans="1:11" ht="12" x14ac:dyDescent="0.3">
      <c r="A20" s="2" t="s">
        <v>3</v>
      </c>
      <c r="B20" s="2" t="s">
        <v>3</v>
      </c>
      <c r="C20" s="2" t="s">
        <v>3</v>
      </c>
      <c r="D20" s="2" t="s">
        <v>3</v>
      </c>
      <c r="E20" s="2" t="s">
        <v>3</v>
      </c>
      <c r="F20" s="2" t="s">
        <v>3</v>
      </c>
      <c r="G20" s="2" t="s">
        <v>3</v>
      </c>
      <c r="H20" s="2" t="s">
        <v>3</v>
      </c>
      <c r="I20" s="2" t="s">
        <v>3</v>
      </c>
      <c r="J20" s="2" t="s">
        <v>3</v>
      </c>
      <c r="K20" s="2" t="s">
        <v>3</v>
      </c>
    </row>
    <row r="21" spans="1:11" ht="12" x14ac:dyDescent="0.3">
      <c r="A21" s="3" t="s">
        <v>627</v>
      </c>
      <c r="B21" s="2" t="s">
        <v>3</v>
      </c>
      <c r="C21" s="3" t="s">
        <v>618</v>
      </c>
      <c r="D21" s="2" t="s">
        <v>3</v>
      </c>
      <c r="E21" s="2" t="s">
        <v>3</v>
      </c>
      <c r="F21" s="2" t="s">
        <v>3</v>
      </c>
      <c r="G21" s="3" t="s">
        <v>598</v>
      </c>
      <c r="H21" s="2" t="s">
        <v>3</v>
      </c>
      <c r="I21" s="3" t="s">
        <v>623</v>
      </c>
      <c r="J21" s="2" t="s">
        <v>3</v>
      </c>
      <c r="K21" s="3" t="s">
        <v>624</v>
      </c>
    </row>
    <row r="22" spans="1:11" ht="12" x14ac:dyDescent="0.3">
      <c r="A22" s="2" t="s">
        <v>3</v>
      </c>
      <c r="B22" s="2" t="s">
        <v>3</v>
      </c>
      <c r="C22" s="3" t="s">
        <v>628</v>
      </c>
    </row>
    <row r="23" spans="1:11" ht="12" x14ac:dyDescent="0.3">
      <c r="A23" s="2" t="s">
        <v>3</v>
      </c>
      <c r="B23" s="2" t="s">
        <v>3</v>
      </c>
      <c r="C23" s="3" t="s">
        <v>626</v>
      </c>
    </row>
    <row r="24" spans="1:11" ht="12" x14ac:dyDescent="0.3">
      <c r="A24" s="2" t="s">
        <v>3</v>
      </c>
      <c r="B24" s="2" t="s">
        <v>3</v>
      </c>
      <c r="C24" s="2" t="s">
        <v>3</v>
      </c>
      <c r="D24" s="2" t="s">
        <v>3</v>
      </c>
      <c r="E24" s="2" t="s">
        <v>3</v>
      </c>
      <c r="F24" s="2" t="s">
        <v>3</v>
      </c>
      <c r="G24" s="2" t="s">
        <v>3</v>
      </c>
      <c r="H24" s="2" t="s">
        <v>3</v>
      </c>
      <c r="I24" s="2" t="s">
        <v>3</v>
      </c>
      <c r="J24" s="2" t="s">
        <v>3</v>
      </c>
      <c r="K24" s="2" t="s">
        <v>3</v>
      </c>
    </row>
    <row r="25" spans="1:11" ht="12" x14ac:dyDescent="0.3">
      <c r="A25" s="3" t="s">
        <v>629</v>
      </c>
      <c r="B25" s="2" t="s">
        <v>3</v>
      </c>
      <c r="C25" s="3" t="s">
        <v>618</v>
      </c>
      <c r="D25" s="2" t="s">
        <v>3</v>
      </c>
      <c r="E25" s="2" t="s">
        <v>3</v>
      </c>
      <c r="F25" s="2" t="s">
        <v>3</v>
      </c>
      <c r="G25" s="3" t="s">
        <v>598</v>
      </c>
      <c r="H25" s="2" t="s">
        <v>3</v>
      </c>
      <c r="I25" s="3" t="s">
        <v>623</v>
      </c>
      <c r="J25" s="2" t="s">
        <v>3</v>
      </c>
      <c r="K25" s="3" t="s">
        <v>624</v>
      </c>
    </row>
    <row r="26" spans="1:11" ht="12" x14ac:dyDescent="0.3">
      <c r="A26" s="2" t="s">
        <v>3</v>
      </c>
      <c r="B26" s="2" t="s">
        <v>3</v>
      </c>
      <c r="C26" s="3" t="s">
        <v>630</v>
      </c>
    </row>
    <row r="27" spans="1:11" ht="12" x14ac:dyDescent="0.3">
      <c r="A27" s="2" t="s">
        <v>3</v>
      </c>
      <c r="B27" s="2" t="s">
        <v>3</v>
      </c>
      <c r="C27" s="3" t="s">
        <v>631</v>
      </c>
    </row>
    <row r="28" spans="1:11" ht="12" x14ac:dyDescent="0.3">
      <c r="A28" s="2" t="s">
        <v>3</v>
      </c>
      <c r="B28" s="2" t="s">
        <v>3</v>
      </c>
      <c r="C28" s="2" t="s">
        <v>3</v>
      </c>
      <c r="D28" s="2" t="s">
        <v>3</v>
      </c>
      <c r="E28" s="2" t="s">
        <v>3</v>
      </c>
      <c r="F28" s="2" t="s">
        <v>3</v>
      </c>
      <c r="G28" s="2" t="s">
        <v>3</v>
      </c>
      <c r="H28" s="2" t="s">
        <v>3</v>
      </c>
      <c r="I28" s="2" t="s">
        <v>3</v>
      </c>
      <c r="J28" s="2" t="s">
        <v>3</v>
      </c>
      <c r="K28" s="2" t="s">
        <v>3</v>
      </c>
    </row>
    <row r="29" spans="1:11" ht="12" x14ac:dyDescent="0.3">
      <c r="A29" s="2" t="s">
        <v>632</v>
      </c>
      <c r="B29" s="2" t="s">
        <v>3</v>
      </c>
      <c r="C29" s="3" t="s">
        <v>618</v>
      </c>
      <c r="D29" s="2" t="s">
        <v>3</v>
      </c>
      <c r="E29" s="2" t="s">
        <v>3</v>
      </c>
      <c r="F29" s="2" t="s">
        <v>3</v>
      </c>
      <c r="G29" s="3" t="s">
        <v>598</v>
      </c>
      <c r="H29" s="2" t="s">
        <v>3</v>
      </c>
      <c r="I29" s="3" t="s">
        <v>623</v>
      </c>
      <c r="J29" s="2" t="s">
        <v>3</v>
      </c>
      <c r="K29" s="3" t="s">
        <v>624</v>
      </c>
    </row>
    <row r="30" spans="1:11" ht="12" x14ac:dyDescent="0.3">
      <c r="A30" s="2" t="s">
        <v>3</v>
      </c>
      <c r="B30" s="2" t="s">
        <v>3</v>
      </c>
      <c r="C30" s="3" t="s">
        <v>633</v>
      </c>
    </row>
    <row r="31" spans="1:11" ht="12" x14ac:dyDescent="0.3">
      <c r="A31" s="2" t="s">
        <v>3</v>
      </c>
      <c r="B31" s="2" t="s">
        <v>3</v>
      </c>
      <c r="C31" s="3" t="s">
        <v>634</v>
      </c>
    </row>
    <row r="32" spans="1:11" ht="12" x14ac:dyDescent="0.3">
      <c r="A32" s="2" t="s">
        <v>3</v>
      </c>
      <c r="B32" s="2" t="s">
        <v>3</v>
      </c>
      <c r="C32" s="2" t="s">
        <v>3</v>
      </c>
      <c r="D32" s="2" t="s">
        <v>3</v>
      </c>
      <c r="E32" s="2" t="s">
        <v>3</v>
      </c>
      <c r="F32" s="2" t="s">
        <v>3</v>
      </c>
      <c r="G32" s="2" t="s">
        <v>3</v>
      </c>
      <c r="H32" s="2" t="s">
        <v>3</v>
      </c>
      <c r="I32" s="2" t="s">
        <v>3</v>
      </c>
      <c r="J32" s="2" t="s">
        <v>3</v>
      </c>
      <c r="K32" s="2" t="s">
        <v>3</v>
      </c>
    </row>
    <row r="33" spans="1:11" ht="12" x14ac:dyDescent="0.3">
      <c r="A33" s="3" t="s">
        <v>635</v>
      </c>
      <c r="B33" s="2" t="s">
        <v>3</v>
      </c>
      <c r="C33" s="3" t="s">
        <v>636</v>
      </c>
      <c r="D33" s="2" t="s">
        <v>3</v>
      </c>
      <c r="E33" s="2" t="s">
        <v>3</v>
      </c>
      <c r="F33" s="2" t="s">
        <v>3</v>
      </c>
      <c r="G33" s="3" t="s">
        <v>602</v>
      </c>
      <c r="H33" s="2" t="s">
        <v>3</v>
      </c>
      <c r="I33" s="2" t="s">
        <v>3</v>
      </c>
      <c r="J33" s="2" t="s">
        <v>3</v>
      </c>
      <c r="K33" s="3" t="s">
        <v>637</v>
      </c>
    </row>
    <row r="34" spans="1:11" ht="12" x14ac:dyDescent="0.3">
      <c r="A34" s="2" t="s">
        <v>3</v>
      </c>
      <c r="B34" s="2" t="s">
        <v>3</v>
      </c>
      <c r="C34" s="2" t="s">
        <v>3</v>
      </c>
      <c r="D34" s="2" t="s">
        <v>3</v>
      </c>
      <c r="E34" s="2" t="s">
        <v>3</v>
      </c>
      <c r="F34" s="2" t="s">
        <v>3</v>
      </c>
      <c r="G34" s="2" t="s">
        <v>3</v>
      </c>
      <c r="H34" s="2" t="s">
        <v>3</v>
      </c>
      <c r="I34" s="2" t="s">
        <v>3</v>
      </c>
      <c r="J34" s="2" t="s">
        <v>3</v>
      </c>
      <c r="K34" s="2" t="s">
        <v>3</v>
      </c>
    </row>
    <row r="35" spans="1:11" ht="12" x14ac:dyDescent="0.3">
      <c r="A35" s="3" t="s">
        <v>638</v>
      </c>
      <c r="B35" s="2" t="s">
        <v>3</v>
      </c>
      <c r="C35" s="3" t="s">
        <v>639</v>
      </c>
      <c r="D35" s="2" t="s">
        <v>3</v>
      </c>
      <c r="E35" s="2" t="s">
        <v>3</v>
      </c>
      <c r="F35" s="2" t="s">
        <v>3</v>
      </c>
      <c r="G35" s="3" t="s">
        <v>598</v>
      </c>
      <c r="H35" s="2" t="s">
        <v>3</v>
      </c>
      <c r="I35" s="3" t="s">
        <v>640</v>
      </c>
      <c r="J35" s="2" t="s">
        <v>3</v>
      </c>
      <c r="K35" s="3" t="s">
        <v>641</v>
      </c>
    </row>
    <row r="36" spans="1:11" ht="12" x14ac:dyDescent="0.3">
      <c r="A36" s="2" t="s">
        <v>3</v>
      </c>
      <c r="B36" s="2" t="s">
        <v>3</v>
      </c>
      <c r="C36" s="3" t="s">
        <v>642</v>
      </c>
    </row>
    <row r="37" spans="1:11" ht="12" x14ac:dyDescent="0.3">
      <c r="A37" s="2" t="s">
        <v>3</v>
      </c>
      <c r="B37" s="2" t="s">
        <v>3</v>
      </c>
      <c r="C37" s="3" t="s">
        <v>643</v>
      </c>
    </row>
    <row r="38" spans="1:11" ht="12" x14ac:dyDescent="0.3">
      <c r="A38" s="2" t="s">
        <v>3</v>
      </c>
      <c r="B38" s="2" t="s">
        <v>3</v>
      </c>
      <c r="C38" s="2" t="s">
        <v>3</v>
      </c>
      <c r="D38" s="2" t="s">
        <v>3</v>
      </c>
      <c r="E38" s="2" t="s">
        <v>3</v>
      </c>
      <c r="F38" s="2" t="s">
        <v>3</v>
      </c>
      <c r="G38" s="2" t="s">
        <v>3</v>
      </c>
      <c r="H38" s="2" t="s">
        <v>3</v>
      </c>
      <c r="I38" s="2" t="s">
        <v>3</v>
      </c>
      <c r="J38" s="2" t="s">
        <v>3</v>
      </c>
      <c r="K38" s="2" t="s">
        <v>3</v>
      </c>
    </row>
    <row r="39" spans="1:11" ht="12" x14ac:dyDescent="0.3">
      <c r="A39" s="3" t="s">
        <v>644</v>
      </c>
      <c r="B39" s="2" t="s">
        <v>3</v>
      </c>
      <c r="C39" s="3" t="s">
        <v>645</v>
      </c>
      <c r="D39" s="2" t="s">
        <v>3</v>
      </c>
      <c r="E39" s="2" t="s">
        <v>3</v>
      </c>
      <c r="F39" s="2" t="s">
        <v>3</v>
      </c>
      <c r="G39" s="3" t="s">
        <v>598</v>
      </c>
      <c r="H39" s="2" t="s">
        <v>3</v>
      </c>
      <c r="I39" s="3" t="s">
        <v>646</v>
      </c>
      <c r="J39" s="2" t="s">
        <v>3</v>
      </c>
      <c r="K39" s="3" t="s">
        <v>647</v>
      </c>
    </row>
    <row r="40" spans="1:11" ht="12" x14ac:dyDescent="0.3">
      <c r="A40" s="2" t="s">
        <v>3</v>
      </c>
      <c r="B40" s="2" t="s">
        <v>3</v>
      </c>
      <c r="C40" s="3" t="s">
        <v>648</v>
      </c>
    </row>
    <row r="41" spans="1:11" ht="12" x14ac:dyDescent="0.3">
      <c r="A41" s="2" t="s">
        <v>3</v>
      </c>
      <c r="B41" s="2" t="s">
        <v>3</v>
      </c>
      <c r="C41" s="3" t="s">
        <v>649</v>
      </c>
    </row>
    <row r="42" spans="1:11" ht="12" x14ac:dyDescent="0.3">
      <c r="A42" s="2" t="s">
        <v>3</v>
      </c>
      <c r="B42" s="2" t="s">
        <v>3</v>
      </c>
      <c r="C42" s="3" t="s">
        <v>650</v>
      </c>
    </row>
    <row r="43" spans="1:11" ht="12" x14ac:dyDescent="0.3">
      <c r="A43" s="2" t="s">
        <v>3</v>
      </c>
      <c r="B43" s="2" t="s">
        <v>3</v>
      </c>
      <c r="C43" s="2" t="s">
        <v>3</v>
      </c>
      <c r="D43" s="2" t="s">
        <v>3</v>
      </c>
      <c r="E43" s="2" t="s">
        <v>3</v>
      </c>
      <c r="F43" s="2" t="s">
        <v>3</v>
      </c>
      <c r="G43" s="2" t="s">
        <v>3</v>
      </c>
      <c r="H43" s="2" t="s">
        <v>3</v>
      </c>
      <c r="I43" s="2" t="s">
        <v>3</v>
      </c>
      <c r="J43" s="2" t="s">
        <v>3</v>
      </c>
      <c r="K43" s="2" t="s">
        <v>3</v>
      </c>
    </row>
    <row r="44" spans="1:11" ht="12" x14ac:dyDescent="0.3">
      <c r="A44" s="6">
        <v>10.6</v>
      </c>
      <c r="B44" s="2" t="s">
        <v>3</v>
      </c>
      <c r="C44" s="3" t="s">
        <v>651</v>
      </c>
      <c r="D44" s="2" t="s">
        <v>3</v>
      </c>
      <c r="E44" s="2" t="s">
        <v>3</v>
      </c>
      <c r="F44" s="2" t="s">
        <v>3</v>
      </c>
      <c r="G44" s="3" t="s">
        <v>652</v>
      </c>
      <c r="H44" s="2" t="s">
        <v>3</v>
      </c>
      <c r="I44" s="2" t="s">
        <v>3</v>
      </c>
      <c r="J44" s="2" t="s">
        <v>3</v>
      </c>
      <c r="K44" s="3" t="s">
        <v>653</v>
      </c>
    </row>
    <row r="45" spans="1:11" ht="12" x14ac:dyDescent="0.3">
      <c r="A45" s="2" t="s">
        <v>3</v>
      </c>
      <c r="B45" s="2" t="s">
        <v>3</v>
      </c>
      <c r="C45" s="2" t="s">
        <v>3</v>
      </c>
      <c r="D45" s="2" t="s">
        <v>3</v>
      </c>
      <c r="E45" s="2" t="s">
        <v>3</v>
      </c>
      <c r="F45" s="2" t="s">
        <v>3</v>
      </c>
      <c r="G45" s="2" t="s">
        <v>3</v>
      </c>
      <c r="H45" s="2" t="s">
        <v>3</v>
      </c>
      <c r="I45" s="2" t="s">
        <v>3</v>
      </c>
      <c r="J45" s="2" t="s">
        <v>3</v>
      </c>
      <c r="K45" s="2" t="s">
        <v>3</v>
      </c>
    </row>
    <row r="46" spans="1:11" ht="12" x14ac:dyDescent="0.3">
      <c r="A46" s="3" t="s">
        <v>654</v>
      </c>
      <c r="B46" s="2" t="s">
        <v>3</v>
      </c>
      <c r="C46" s="3" t="s">
        <v>655</v>
      </c>
      <c r="D46" s="2" t="s">
        <v>3</v>
      </c>
      <c r="E46" s="2" t="s">
        <v>3</v>
      </c>
      <c r="F46" s="2" t="s">
        <v>3</v>
      </c>
      <c r="G46" s="3" t="s">
        <v>1</v>
      </c>
      <c r="H46" s="2" t="s">
        <v>3</v>
      </c>
      <c r="I46" s="3" t="s">
        <v>656</v>
      </c>
      <c r="J46" s="2" t="s">
        <v>3</v>
      </c>
      <c r="K46" s="3" t="s">
        <v>657</v>
      </c>
    </row>
    <row r="47" spans="1:11" ht="12" x14ac:dyDescent="0.3">
      <c r="A47" s="2" t="s">
        <v>3</v>
      </c>
      <c r="B47" s="2" t="s">
        <v>3</v>
      </c>
      <c r="C47" s="2" t="s">
        <v>3</v>
      </c>
      <c r="D47" s="2" t="s">
        <v>3</v>
      </c>
      <c r="E47" s="2" t="s">
        <v>3</v>
      </c>
      <c r="F47" s="2" t="s">
        <v>3</v>
      </c>
      <c r="G47" s="2" t="s">
        <v>3</v>
      </c>
      <c r="H47" s="2" t="s">
        <v>3</v>
      </c>
      <c r="I47" s="2" t="s">
        <v>3</v>
      </c>
      <c r="J47" s="2" t="s">
        <v>3</v>
      </c>
      <c r="K47" s="2" t="s">
        <v>3</v>
      </c>
    </row>
    <row r="48" spans="1:11" ht="12" x14ac:dyDescent="0.3">
      <c r="A48" s="3" t="s">
        <v>658</v>
      </c>
      <c r="B48" s="2" t="s">
        <v>3</v>
      </c>
      <c r="C48" s="3" t="s">
        <v>659</v>
      </c>
      <c r="D48" s="2" t="s">
        <v>3</v>
      </c>
      <c r="E48" s="2" t="s">
        <v>3</v>
      </c>
      <c r="F48" s="2" t="s">
        <v>3</v>
      </c>
      <c r="G48" s="3" t="s">
        <v>660</v>
      </c>
      <c r="H48" s="2" t="s">
        <v>3</v>
      </c>
      <c r="I48" s="3" t="s">
        <v>661</v>
      </c>
      <c r="J48" s="2" t="s">
        <v>3</v>
      </c>
      <c r="K48" s="3" t="s">
        <v>662</v>
      </c>
    </row>
    <row r="49" spans="1:11" ht="12" x14ac:dyDescent="0.3">
      <c r="A49" s="2" t="s">
        <v>3</v>
      </c>
      <c r="B49" s="2" t="s">
        <v>3</v>
      </c>
      <c r="C49" s="3" t="s">
        <v>663</v>
      </c>
    </row>
    <row r="50" spans="1:11" ht="12" x14ac:dyDescent="0.3">
      <c r="A50" s="2" t="s">
        <v>3</v>
      </c>
      <c r="B50" s="2" t="s">
        <v>3</v>
      </c>
      <c r="C50" s="2" t="s">
        <v>3</v>
      </c>
      <c r="D50" s="2" t="s">
        <v>3</v>
      </c>
      <c r="E50" s="2" t="s">
        <v>3</v>
      </c>
      <c r="F50" s="2" t="s">
        <v>3</v>
      </c>
      <c r="G50" s="2" t="s">
        <v>3</v>
      </c>
      <c r="H50" s="2" t="s">
        <v>3</v>
      </c>
      <c r="I50" s="2" t="s">
        <v>3</v>
      </c>
      <c r="J50" s="2" t="s">
        <v>3</v>
      </c>
      <c r="K50" s="2" t="s">
        <v>3</v>
      </c>
    </row>
    <row r="51" spans="1:11" ht="12" x14ac:dyDescent="0.3">
      <c r="A51" s="3" t="s">
        <v>664</v>
      </c>
      <c r="B51" s="2" t="s">
        <v>3</v>
      </c>
      <c r="C51" s="3" t="s">
        <v>665</v>
      </c>
      <c r="D51" s="2" t="s">
        <v>3</v>
      </c>
      <c r="E51" s="2" t="s">
        <v>3</v>
      </c>
      <c r="F51" s="2" t="s">
        <v>3</v>
      </c>
      <c r="G51" s="3" t="s">
        <v>598</v>
      </c>
      <c r="H51" s="2" t="s">
        <v>3</v>
      </c>
      <c r="I51" s="3" t="s">
        <v>623</v>
      </c>
      <c r="J51" s="2" t="s">
        <v>3</v>
      </c>
      <c r="K51" s="3" t="s">
        <v>624</v>
      </c>
    </row>
    <row r="52" spans="1:11" ht="12" x14ac:dyDescent="0.3">
      <c r="A52" s="2" t="s">
        <v>3</v>
      </c>
      <c r="B52" s="2" t="s">
        <v>3</v>
      </c>
      <c r="C52" s="3" t="s">
        <v>666</v>
      </c>
    </row>
    <row r="53" spans="1:11" ht="12" x14ac:dyDescent="0.3">
      <c r="A53" s="2" t="s">
        <v>3</v>
      </c>
      <c r="B53" s="2" t="s">
        <v>3</v>
      </c>
      <c r="C53" s="2" t="s">
        <v>3</v>
      </c>
      <c r="D53" s="2" t="s">
        <v>3</v>
      </c>
      <c r="E53" s="2" t="s">
        <v>3</v>
      </c>
      <c r="F53" s="2" t="s">
        <v>3</v>
      </c>
      <c r="G53" s="2" t="s">
        <v>3</v>
      </c>
      <c r="H53" s="2" t="s">
        <v>3</v>
      </c>
      <c r="I53" s="2" t="s">
        <v>3</v>
      </c>
      <c r="J53" s="2" t="s">
        <v>3</v>
      </c>
      <c r="K53" s="2" t="s">
        <v>3</v>
      </c>
    </row>
    <row r="54" spans="1:11" ht="12" x14ac:dyDescent="0.3">
      <c r="A54" s="3" t="s">
        <v>667</v>
      </c>
      <c r="B54" s="2" t="s">
        <v>3</v>
      </c>
      <c r="C54" s="3" t="s">
        <v>668</v>
      </c>
      <c r="D54" s="2" t="s">
        <v>3</v>
      </c>
      <c r="E54" s="2" t="s">
        <v>3</v>
      </c>
      <c r="F54" s="2" t="s">
        <v>3</v>
      </c>
      <c r="G54" s="3" t="s">
        <v>598</v>
      </c>
      <c r="H54" s="2" t="s">
        <v>3</v>
      </c>
      <c r="I54" s="3" t="s">
        <v>669</v>
      </c>
      <c r="J54" s="2" t="s">
        <v>3</v>
      </c>
      <c r="K54" s="3" t="s">
        <v>670</v>
      </c>
    </row>
    <row r="55" spans="1:11" ht="12" x14ac:dyDescent="0.3">
      <c r="A55" s="2" t="s">
        <v>3</v>
      </c>
      <c r="B55" s="2" t="s">
        <v>3</v>
      </c>
      <c r="C55" s="3" t="s">
        <v>666</v>
      </c>
    </row>
    <row r="56" spans="1:11" ht="12" x14ac:dyDescent="0.3">
      <c r="A56" s="2" t="s">
        <v>3</v>
      </c>
      <c r="B56" s="2" t="s">
        <v>3</v>
      </c>
      <c r="C56" s="2" t="s">
        <v>3</v>
      </c>
      <c r="D56" s="2" t="s">
        <v>3</v>
      </c>
      <c r="E56" s="2" t="s">
        <v>3</v>
      </c>
      <c r="F56" s="2" t="s">
        <v>3</v>
      </c>
      <c r="G56" s="2" t="s">
        <v>3</v>
      </c>
      <c r="H56" s="2" t="s">
        <v>3</v>
      </c>
      <c r="I56" s="2" t="s">
        <v>3</v>
      </c>
      <c r="J56" s="2" t="s">
        <v>3</v>
      </c>
      <c r="K56" s="2" t="s">
        <v>3</v>
      </c>
    </row>
    <row r="57" spans="1:11" ht="12" x14ac:dyDescent="0.3">
      <c r="A57" s="3" t="s">
        <v>671</v>
      </c>
      <c r="B57" s="2" t="s">
        <v>3</v>
      </c>
      <c r="C57" s="3" t="s">
        <v>672</v>
      </c>
      <c r="D57" s="2" t="s">
        <v>3</v>
      </c>
      <c r="E57" s="2" t="s">
        <v>3</v>
      </c>
      <c r="F57" s="2" t="s">
        <v>3</v>
      </c>
      <c r="G57" s="3" t="s">
        <v>1</v>
      </c>
      <c r="H57" s="2" t="s">
        <v>3</v>
      </c>
      <c r="I57" s="3" t="s">
        <v>673</v>
      </c>
      <c r="J57" s="2" t="s">
        <v>3</v>
      </c>
      <c r="K57" s="3" t="s">
        <v>674</v>
      </c>
    </row>
    <row r="58" spans="1:11" ht="12" x14ac:dyDescent="0.3">
      <c r="A58" s="2" t="s">
        <v>3</v>
      </c>
      <c r="B58" s="2" t="s">
        <v>3</v>
      </c>
      <c r="C58" s="3" t="s">
        <v>666</v>
      </c>
    </row>
    <row r="59" spans="1:11" ht="12" x14ac:dyDescent="0.3">
      <c r="A59" s="2" t="s">
        <v>3</v>
      </c>
      <c r="B59" s="2" t="s">
        <v>3</v>
      </c>
      <c r="C59" s="2" t="s">
        <v>3</v>
      </c>
      <c r="D59" s="2" t="s">
        <v>3</v>
      </c>
      <c r="E59" s="2" t="s">
        <v>3</v>
      </c>
      <c r="F59" s="2" t="s">
        <v>3</v>
      </c>
      <c r="G59" s="2" t="s">
        <v>3</v>
      </c>
      <c r="H59" s="2" t="s">
        <v>3</v>
      </c>
      <c r="I59" s="2" t="s">
        <v>3</v>
      </c>
      <c r="J59" s="2" t="s">
        <v>3</v>
      </c>
      <c r="K59" s="2" t="s">
        <v>3</v>
      </c>
    </row>
    <row r="60" spans="1:11" ht="12" x14ac:dyDescent="0.3">
      <c r="A60" s="3" t="s">
        <v>675</v>
      </c>
      <c r="B60" s="2" t="s">
        <v>3</v>
      </c>
      <c r="C60" s="3" t="s">
        <v>676</v>
      </c>
      <c r="D60" s="2" t="s">
        <v>3</v>
      </c>
      <c r="E60" s="2" t="s">
        <v>3</v>
      </c>
      <c r="F60" s="2" t="s">
        <v>3</v>
      </c>
      <c r="G60" s="3" t="s">
        <v>598</v>
      </c>
      <c r="H60" s="2" t="s">
        <v>3</v>
      </c>
      <c r="I60" s="3" t="s">
        <v>677</v>
      </c>
      <c r="J60" s="2" t="s">
        <v>3</v>
      </c>
      <c r="K60" s="3" t="s">
        <v>678</v>
      </c>
    </row>
    <row r="61" spans="1:11" ht="12" x14ac:dyDescent="0.3">
      <c r="A61" s="2" t="s">
        <v>3</v>
      </c>
      <c r="B61" s="2" t="s">
        <v>3</v>
      </c>
      <c r="C61" s="3" t="s">
        <v>666</v>
      </c>
    </row>
    <row r="62" spans="1:11" ht="12" x14ac:dyDescent="0.3">
      <c r="A62" s="2" t="s">
        <v>3</v>
      </c>
      <c r="B62" s="2" t="s">
        <v>3</v>
      </c>
      <c r="C62" s="2" t="s">
        <v>3</v>
      </c>
      <c r="D62" s="2" t="s">
        <v>3</v>
      </c>
      <c r="E62" s="2" t="s">
        <v>3</v>
      </c>
      <c r="F62" s="2" t="s">
        <v>3</v>
      </c>
      <c r="G62" s="2" t="s">
        <v>3</v>
      </c>
      <c r="H62" s="2" t="s">
        <v>3</v>
      </c>
      <c r="I62" s="2" t="s">
        <v>3</v>
      </c>
      <c r="J62" s="2" t="s">
        <v>3</v>
      </c>
      <c r="K62" s="2" t="s">
        <v>3</v>
      </c>
    </row>
    <row r="63" spans="1:11" ht="12" x14ac:dyDescent="0.3">
      <c r="A63" s="2" t="s">
        <v>3</v>
      </c>
    </row>
    <row r="64" spans="1:11" ht="12" x14ac:dyDescent="0.3">
      <c r="A64" s="2" t="s">
        <v>3</v>
      </c>
    </row>
    <row r="65" spans="1:1" ht="12" x14ac:dyDescent="0.3">
      <c r="A65" s="1" t="s">
        <v>8</v>
      </c>
    </row>
    <row r="66" spans="1:1" ht="12" x14ac:dyDescent="0.3">
      <c r="A66" s="1" t="s">
        <v>9</v>
      </c>
    </row>
    <row r="67" spans="1:1" ht="12" x14ac:dyDescent="0.3">
      <c r="A67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K47"/>
  <sheetViews>
    <sheetView workbookViewId="0">
      <selection activeCell="H23" sqref="H23"/>
    </sheetView>
  </sheetViews>
  <sheetFormatPr defaultColWidth="10.3984375" defaultRowHeight="11.5" x14ac:dyDescent="0.25"/>
  <cols>
    <col min="1" max="1" width="10.5" customWidth="1"/>
    <col min="2" max="2" width="9.09765625" customWidth="1"/>
    <col min="3" max="3" width="53.296875" customWidth="1"/>
    <col min="4" max="4" width="9.09765625" customWidth="1"/>
    <col min="5" max="5" width="10.5" customWidth="1"/>
    <col min="6" max="6" width="9.09765625" customWidth="1"/>
    <col min="7" max="7" width="5.69921875" customWidth="1"/>
    <col min="8" max="8" width="9.09765625" customWidth="1"/>
    <col min="9" max="9" width="15.19921875" customWidth="1"/>
    <col min="10" max="10" width="9.09765625" customWidth="1"/>
    <col min="11" max="11" width="14" customWidth="1"/>
  </cols>
  <sheetData>
    <row r="1" spans="1:11" ht="12" x14ac:dyDescent="0.3">
      <c r="A1" s="1" t="s">
        <v>0</v>
      </c>
    </row>
    <row r="2" spans="1:11" ht="12" x14ac:dyDescent="0.3">
      <c r="A2" s="1" t="s">
        <v>1</v>
      </c>
    </row>
    <row r="3" spans="1:11" ht="12" x14ac:dyDescent="0.3">
      <c r="A3" s="1" t="s">
        <v>2</v>
      </c>
    </row>
    <row r="4" spans="1:11" ht="12" x14ac:dyDescent="0.3">
      <c r="A4" s="2" t="s">
        <v>3</v>
      </c>
    </row>
    <row r="5" spans="1:11" ht="12" x14ac:dyDescent="0.3">
      <c r="A5" s="1" t="s">
        <v>587</v>
      </c>
    </row>
    <row r="6" spans="1:11" ht="12" x14ac:dyDescent="0.3">
      <c r="A6" s="2" t="s">
        <v>3</v>
      </c>
    </row>
    <row r="7" spans="1:11" ht="12" x14ac:dyDescent="0.3">
      <c r="A7" s="2" t="s">
        <v>3</v>
      </c>
    </row>
    <row r="8" spans="1:11" ht="12" x14ac:dyDescent="0.3">
      <c r="A8" s="2" t="s">
        <v>3</v>
      </c>
    </row>
    <row r="9" spans="1:11" ht="12" x14ac:dyDescent="0.3">
      <c r="A9" s="2" t="s">
        <v>3</v>
      </c>
    </row>
    <row r="10" spans="1:11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</row>
    <row r="11" spans="1:11" ht="12" x14ac:dyDescent="0.3">
      <c r="A11" s="2" t="s">
        <v>3</v>
      </c>
      <c r="B11" s="2" t="s">
        <v>3</v>
      </c>
      <c r="C11" s="2" t="s">
        <v>3</v>
      </c>
      <c r="D11" s="2" t="s">
        <v>3</v>
      </c>
      <c r="E11" s="2" t="s">
        <v>3</v>
      </c>
      <c r="F11" s="2" t="s">
        <v>3</v>
      </c>
      <c r="G11" s="3" t="s">
        <v>588</v>
      </c>
    </row>
    <row r="12" spans="1:11" ht="12" x14ac:dyDescent="0.3">
      <c r="A12" s="3" t="s">
        <v>589</v>
      </c>
      <c r="B12" s="2" t="s">
        <v>3</v>
      </c>
      <c r="C12" s="3" t="s">
        <v>590</v>
      </c>
      <c r="D12" s="2" t="s">
        <v>3</v>
      </c>
      <c r="E12" s="3" t="s">
        <v>591</v>
      </c>
      <c r="F12" s="2" t="s">
        <v>3</v>
      </c>
      <c r="G12" s="3" t="s">
        <v>592</v>
      </c>
      <c r="H12" s="2" t="s">
        <v>3</v>
      </c>
      <c r="I12" s="3" t="s">
        <v>593</v>
      </c>
      <c r="J12" s="2" t="s">
        <v>3</v>
      </c>
      <c r="K12" s="3" t="s">
        <v>594</v>
      </c>
    </row>
    <row r="13" spans="1:11" ht="12" x14ac:dyDescent="0.3">
      <c r="A13" s="3" t="s">
        <v>595</v>
      </c>
      <c r="B13" s="2" t="s">
        <v>3</v>
      </c>
      <c r="C13" s="2" t="s">
        <v>3</v>
      </c>
      <c r="D13" s="2" t="s">
        <v>3</v>
      </c>
      <c r="E13" s="3" t="s">
        <v>596</v>
      </c>
    </row>
    <row r="14" spans="1:11" ht="12" x14ac:dyDescent="0.3">
      <c r="A14" s="3" t="s">
        <v>679</v>
      </c>
      <c r="B14" s="2" t="s">
        <v>3</v>
      </c>
      <c r="C14" s="3" t="s">
        <v>680</v>
      </c>
      <c r="D14" s="2" t="s">
        <v>3</v>
      </c>
      <c r="E14" s="2" t="s">
        <v>3</v>
      </c>
      <c r="F14" s="2" t="s">
        <v>3</v>
      </c>
      <c r="G14" s="3" t="s">
        <v>598</v>
      </c>
      <c r="H14" s="2" t="s">
        <v>3</v>
      </c>
      <c r="I14" s="3" t="s">
        <v>599</v>
      </c>
      <c r="J14" s="2" t="s">
        <v>3</v>
      </c>
      <c r="K14" s="3" t="s">
        <v>600</v>
      </c>
    </row>
    <row r="15" spans="1:11" ht="12" x14ac:dyDescent="0.3">
      <c r="A15" s="2" t="s">
        <v>3</v>
      </c>
      <c r="B15" s="2" t="s">
        <v>3</v>
      </c>
      <c r="C15" s="3" t="s">
        <v>666</v>
      </c>
    </row>
    <row r="16" spans="1:11" ht="12" x14ac:dyDescent="0.3">
      <c r="A16" s="2" t="s">
        <v>3</v>
      </c>
      <c r="B16" s="2" t="s">
        <v>3</v>
      </c>
      <c r="C16" s="2" t="s">
        <v>3</v>
      </c>
      <c r="D16" s="2" t="s">
        <v>3</v>
      </c>
      <c r="E16" s="2" t="s">
        <v>3</v>
      </c>
      <c r="F16" s="2" t="s">
        <v>3</v>
      </c>
      <c r="G16" s="2" t="s">
        <v>3</v>
      </c>
      <c r="H16" s="2" t="s">
        <v>3</v>
      </c>
      <c r="I16" s="2" t="s">
        <v>3</v>
      </c>
      <c r="J16" s="2" t="s">
        <v>3</v>
      </c>
      <c r="K16" s="2" t="s">
        <v>3</v>
      </c>
    </row>
    <row r="17" spans="1:11" ht="12" x14ac:dyDescent="0.3">
      <c r="A17" s="3" t="s">
        <v>681</v>
      </c>
      <c r="B17" s="2" t="s">
        <v>3</v>
      </c>
      <c r="C17" s="3" t="s">
        <v>682</v>
      </c>
      <c r="D17" s="2" t="s">
        <v>3</v>
      </c>
      <c r="E17" s="3" t="s">
        <v>683</v>
      </c>
      <c r="F17" s="2" t="s">
        <v>3</v>
      </c>
      <c r="G17" s="2" t="s">
        <v>3</v>
      </c>
      <c r="H17" s="2" t="s">
        <v>3</v>
      </c>
      <c r="I17" s="2" t="s">
        <v>3</v>
      </c>
      <c r="J17" s="2" t="s">
        <v>3</v>
      </c>
      <c r="K17" s="2" t="s">
        <v>3</v>
      </c>
    </row>
    <row r="18" spans="1:11" ht="12" x14ac:dyDescent="0.3">
      <c r="A18" s="2" t="s">
        <v>3</v>
      </c>
      <c r="B18" s="2" t="s">
        <v>3</v>
      </c>
      <c r="C18" s="3" t="s">
        <v>666</v>
      </c>
    </row>
    <row r="19" spans="1:11" ht="12" x14ac:dyDescent="0.3">
      <c r="A19" s="2" t="s">
        <v>3</v>
      </c>
      <c r="B19" s="2" t="s">
        <v>3</v>
      </c>
      <c r="C19" s="2" t="s">
        <v>3</v>
      </c>
      <c r="D19" s="2" t="s">
        <v>3</v>
      </c>
      <c r="E19" s="2" t="s">
        <v>3</v>
      </c>
      <c r="F19" s="2" t="s">
        <v>3</v>
      </c>
      <c r="G19" s="2" t="s">
        <v>3</v>
      </c>
      <c r="H19" s="2" t="s">
        <v>3</v>
      </c>
      <c r="I19" s="2" t="s">
        <v>3</v>
      </c>
      <c r="J19" s="2" t="s">
        <v>3</v>
      </c>
      <c r="K19" s="2" t="s">
        <v>3</v>
      </c>
    </row>
    <row r="20" spans="1:11" ht="12" x14ac:dyDescent="0.3">
      <c r="A20" s="6">
        <v>21.1</v>
      </c>
      <c r="B20" s="2" t="s">
        <v>3</v>
      </c>
      <c r="C20" s="3" t="s">
        <v>684</v>
      </c>
      <c r="D20" s="2" t="s">
        <v>3</v>
      </c>
      <c r="E20" s="3" t="s">
        <v>683</v>
      </c>
      <c r="F20" s="2" t="s">
        <v>3</v>
      </c>
      <c r="G20" s="2" t="s">
        <v>3</v>
      </c>
      <c r="H20" s="2" t="s">
        <v>3</v>
      </c>
      <c r="I20" s="2" t="s">
        <v>3</v>
      </c>
      <c r="J20" s="2" t="s">
        <v>3</v>
      </c>
      <c r="K20" s="2" t="s">
        <v>3</v>
      </c>
    </row>
    <row r="21" spans="1:11" ht="12" x14ac:dyDescent="0.3">
      <c r="A21" s="2" t="s">
        <v>3</v>
      </c>
      <c r="B21" s="2" t="s">
        <v>3</v>
      </c>
      <c r="C21" s="2" t="s">
        <v>3</v>
      </c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2" t="s">
        <v>3</v>
      </c>
    </row>
    <row r="22" spans="1:11" ht="12" x14ac:dyDescent="0.3">
      <c r="A22" s="6">
        <v>23.1</v>
      </c>
      <c r="B22" s="2" t="s">
        <v>3</v>
      </c>
      <c r="C22" s="3" t="s">
        <v>685</v>
      </c>
      <c r="D22" s="2" t="s">
        <v>3</v>
      </c>
      <c r="E22" s="3" t="s">
        <v>683</v>
      </c>
      <c r="F22" s="2" t="s">
        <v>3</v>
      </c>
      <c r="G22" s="2" t="s">
        <v>3</v>
      </c>
      <c r="H22" s="2" t="s">
        <v>3</v>
      </c>
      <c r="I22" s="2" t="s">
        <v>3</v>
      </c>
      <c r="J22" s="2" t="s">
        <v>3</v>
      </c>
      <c r="K22" s="2" t="s">
        <v>3</v>
      </c>
    </row>
    <row r="23" spans="1:11" ht="12" x14ac:dyDescent="0.3">
      <c r="A23" s="2" t="s">
        <v>3</v>
      </c>
      <c r="B23" s="2" t="s">
        <v>3</v>
      </c>
      <c r="C23" s="3" t="s">
        <v>686</v>
      </c>
    </row>
    <row r="24" spans="1:11" ht="12" x14ac:dyDescent="0.3">
      <c r="A24" s="2" t="s">
        <v>3</v>
      </c>
      <c r="B24" s="2" t="s">
        <v>3</v>
      </c>
      <c r="C24" s="2" t="s">
        <v>3</v>
      </c>
      <c r="D24" s="2" t="s">
        <v>3</v>
      </c>
      <c r="E24" s="2" t="s">
        <v>3</v>
      </c>
      <c r="F24" s="2" t="s">
        <v>3</v>
      </c>
      <c r="G24" s="2" t="s">
        <v>3</v>
      </c>
      <c r="H24" s="2" t="s">
        <v>3</v>
      </c>
      <c r="I24" s="2" t="s">
        <v>3</v>
      </c>
      <c r="J24" s="2" t="s">
        <v>3</v>
      </c>
      <c r="K24" s="2" t="s">
        <v>3</v>
      </c>
    </row>
    <row r="25" spans="1:11" ht="12" x14ac:dyDescent="0.3">
      <c r="A25" s="6">
        <v>31.1</v>
      </c>
      <c r="B25" s="2" t="s">
        <v>3</v>
      </c>
      <c r="C25" s="3" t="s">
        <v>687</v>
      </c>
      <c r="D25" s="2" t="s">
        <v>3</v>
      </c>
      <c r="E25" s="3" t="s">
        <v>683</v>
      </c>
      <c r="F25" s="2" t="s">
        <v>3</v>
      </c>
      <c r="G25" s="2" t="s">
        <v>3</v>
      </c>
      <c r="H25" s="2" t="s">
        <v>3</v>
      </c>
      <c r="I25" s="2" t="s">
        <v>3</v>
      </c>
      <c r="J25" s="2" t="s">
        <v>3</v>
      </c>
      <c r="K25" s="2" t="s">
        <v>3</v>
      </c>
    </row>
    <row r="26" spans="1:11" ht="12" x14ac:dyDescent="0.3">
      <c r="A26" s="2" t="s">
        <v>3</v>
      </c>
      <c r="B26" s="2" t="s">
        <v>3</v>
      </c>
      <c r="C26" s="2" t="s">
        <v>3</v>
      </c>
      <c r="D26" s="2" t="s">
        <v>3</v>
      </c>
      <c r="E26" s="2" t="s">
        <v>3</v>
      </c>
      <c r="F26" s="2" t="s">
        <v>3</v>
      </c>
      <c r="G26" s="2" t="s">
        <v>3</v>
      </c>
      <c r="H26" s="2" t="s">
        <v>3</v>
      </c>
      <c r="I26" s="2" t="s">
        <v>3</v>
      </c>
      <c r="J26" s="2" t="s">
        <v>3</v>
      </c>
      <c r="K26" s="2" t="s">
        <v>3</v>
      </c>
    </row>
    <row r="27" spans="1:11" ht="12" x14ac:dyDescent="0.3">
      <c r="A27" s="6">
        <v>32.1</v>
      </c>
      <c r="B27" s="2" t="s">
        <v>3</v>
      </c>
      <c r="C27" s="3" t="s">
        <v>688</v>
      </c>
      <c r="D27" s="2" t="s">
        <v>3</v>
      </c>
      <c r="E27" s="3" t="s">
        <v>683</v>
      </c>
      <c r="F27" s="2" t="s">
        <v>3</v>
      </c>
      <c r="G27" s="2" t="s">
        <v>3</v>
      </c>
      <c r="H27" s="2" t="s">
        <v>3</v>
      </c>
      <c r="I27" s="2" t="s">
        <v>3</v>
      </c>
      <c r="J27" s="2" t="s">
        <v>3</v>
      </c>
      <c r="K27" s="2" t="s">
        <v>3</v>
      </c>
    </row>
    <row r="28" spans="1:11" ht="12" x14ac:dyDescent="0.3">
      <c r="A28" s="2" t="s">
        <v>3</v>
      </c>
      <c r="B28" s="2" t="s">
        <v>3</v>
      </c>
      <c r="C28" s="2" t="s">
        <v>3</v>
      </c>
      <c r="D28" s="2" t="s">
        <v>3</v>
      </c>
      <c r="E28" s="2" t="s">
        <v>3</v>
      </c>
      <c r="F28" s="2" t="s">
        <v>3</v>
      </c>
      <c r="G28" s="2" t="s">
        <v>3</v>
      </c>
      <c r="H28" s="2" t="s">
        <v>3</v>
      </c>
      <c r="I28" s="2" t="s">
        <v>3</v>
      </c>
      <c r="J28" s="2" t="s">
        <v>3</v>
      </c>
      <c r="K28" s="2" t="s">
        <v>3</v>
      </c>
    </row>
    <row r="29" spans="1:11" ht="12" x14ac:dyDescent="0.3">
      <c r="A29" s="1" t="s">
        <v>689</v>
      </c>
      <c r="B29" s="2" t="s">
        <v>3</v>
      </c>
      <c r="C29" s="3" t="s">
        <v>690</v>
      </c>
      <c r="D29" s="2" t="s">
        <v>3</v>
      </c>
      <c r="E29" s="3" t="s">
        <v>683</v>
      </c>
      <c r="F29" s="2" t="s">
        <v>3</v>
      </c>
      <c r="G29" s="2" t="s">
        <v>3</v>
      </c>
      <c r="H29" s="2" t="s">
        <v>3</v>
      </c>
      <c r="I29" s="2" t="s">
        <v>3</v>
      </c>
      <c r="J29" s="2" t="s">
        <v>3</v>
      </c>
      <c r="K29" s="2" t="s">
        <v>3</v>
      </c>
    </row>
    <row r="30" spans="1:11" ht="12" x14ac:dyDescent="0.3">
      <c r="A30" s="2" t="s">
        <v>3</v>
      </c>
      <c r="B30" s="2" t="s">
        <v>3</v>
      </c>
      <c r="C30" s="2" t="s">
        <v>3</v>
      </c>
      <c r="D30" s="2" t="s">
        <v>3</v>
      </c>
      <c r="E30" s="2" t="s">
        <v>3</v>
      </c>
      <c r="F30" s="2" t="s">
        <v>3</v>
      </c>
      <c r="G30" s="2" t="s">
        <v>3</v>
      </c>
      <c r="H30" s="2" t="s">
        <v>3</v>
      </c>
      <c r="I30" s="2" t="s">
        <v>3</v>
      </c>
      <c r="J30" s="2" t="s">
        <v>3</v>
      </c>
      <c r="K30" s="2" t="s">
        <v>3</v>
      </c>
    </row>
    <row r="31" spans="1:11" ht="12" x14ac:dyDescent="0.3">
      <c r="A31" s="1" t="s">
        <v>691</v>
      </c>
      <c r="B31" s="2" t="s">
        <v>3</v>
      </c>
      <c r="C31" s="3" t="s">
        <v>692</v>
      </c>
      <c r="D31" s="2" t="s">
        <v>3</v>
      </c>
      <c r="E31" s="3" t="s">
        <v>683</v>
      </c>
      <c r="F31" s="2" t="s">
        <v>3</v>
      </c>
      <c r="G31" s="2" t="s">
        <v>3</v>
      </c>
      <c r="H31" s="2" t="s">
        <v>3</v>
      </c>
      <c r="I31" s="2" t="s">
        <v>3</v>
      </c>
      <c r="J31" s="2" t="s">
        <v>3</v>
      </c>
      <c r="K31" s="2" t="s">
        <v>3</v>
      </c>
    </row>
    <row r="32" spans="1:11" ht="12" x14ac:dyDescent="0.3">
      <c r="A32" s="2" t="s">
        <v>3</v>
      </c>
      <c r="B32" s="2" t="s">
        <v>3</v>
      </c>
      <c r="C32" s="2" t="s">
        <v>3</v>
      </c>
      <c r="D32" s="2" t="s">
        <v>3</v>
      </c>
      <c r="E32" s="2" t="s">
        <v>3</v>
      </c>
      <c r="F32" s="2" t="s">
        <v>3</v>
      </c>
      <c r="G32" s="2" t="s">
        <v>3</v>
      </c>
      <c r="H32" s="2" t="s">
        <v>3</v>
      </c>
      <c r="I32" s="2" t="s">
        <v>3</v>
      </c>
      <c r="J32" s="2" t="s">
        <v>3</v>
      </c>
      <c r="K32" s="2" t="s">
        <v>3</v>
      </c>
    </row>
    <row r="33" spans="1:11" ht="12" x14ac:dyDescent="0.3">
      <c r="A33" s="1" t="s">
        <v>693</v>
      </c>
      <c r="B33" s="2" t="s">
        <v>3</v>
      </c>
      <c r="C33" s="3" t="s">
        <v>694</v>
      </c>
      <c r="D33" s="2" t="s">
        <v>3</v>
      </c>
      <c r="E33" s="3" t="s">
        <v>683</v>
      </c>
      <c r="F33" s="2" t="s">
        <v>3</v>
      </c>
      <c r="G33" s="2" t="s">
        <v>3</v>
      </c>
      <c r="H33" s="2" t="s">
        <v>3</v>
      </c>
      <c r="I33" s="2" t="s">
        <v>3</v>
      </c>
      <c r="J33" s="2" t="s">
        <v>3</v>
      </c>
      <c r="K33" s="2" t="s">
        <v>3</v>
      </c>
    </row>
    <row r="34" spans="1:11" ht="12" x14ac:dyDescent="0.3">
      <c r="A34" s="2" t="s">
        <v>3</v>
      </c>
      <c r="B34" s="2" t="s">
        <v>3</v>
      </c>
      <c r="C34" s="3" t="s">
        <v>695</v>
      </c>
    </row>
    <row r="35" spans="1:11" ht="12" x14ac:dyDescent="0.3">
      <c r="A35" s="2" t="s">
        <v>3</v>
      </c>
      <c r="B35" s="2" t="s">
        <v>3</v>
      </c>
      <c r="C35" s="2" t="s">
        <v>3</v>
      </c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2" t="s">
        <v>3</v>
      </c>
    </row>
    <row r="36" spans="1:11" ht="12" x14ac:dyDescent="0.3">
      <c r="A36" s="1" t="s">
        <v>696</v>
      </c>
      <c r="B36" s="2" t="s">
        <v>3</v>
      </c>
      <c r="C36" s="3" t="s">
        <v>697</v>
      </c>
      <c r="D36" s="2" t="s">
        <v>3</v>
      </c>
      <c r="E36" s="3" t="s">
        <v>683</v>
      </c>
      <c r="F36" s="2" t="s">
        <v>3</v>
      </c>
      <c r="G36" s="2" t="s">
        <v>3</v>
      </c>
      <c r="H36" s="2" t="s">
        <v>3</v>
      </c>
      <c r="I36" s="2" t="s">
        <v>3</v>
      </c>
      <c r="J36" s="2" t="s">
        <v>3</v>
      </c>
      <c r="K36" s="2" t="s">
        <v>3</v>
      </c>
    </row>
    <row r="37" spans="1:11" ht="12" x14ac:dyDescent="0.3">
      <c r="A37" s="2" t="s">
        <v>3</v>
      </c>
      <c r="B37" s="2" t="s">
        <v>3</v>
      </c>
      <c r="C37" s="3" t="s">
        <v>695</v>
      </c>
    </row>
    <row r="38" spans="1:11" ht="12" x14ac:dyDescent="0.3">
      <c r="A38" s="2" t="s">
        <v>3</v>
      </c>
      <c r="B38" s="2" t="s">
        <v>3</v>
      </c>
      <c r="C38" s="2" t="s">
        <v>3</v>
      </c>
      <c r="D38" s="2" t="s">
        <v>3</v>
      </c>
      <c r="E38" s="2" t="s">
        <v>3</v>
      </c>
      <c r="F38" s="2" t="s">
        <v>3</v>
      </c>
      <c r="G38" s="2" t="s">
        <v>3</v>
      </c>
      <c r="H38" s="2" t="s">
        <v>3</v>
      </c>
      <c r="I38" s="2" t="s">
        <v>3</v>
      </c>
      <c r="J38" s="2" t="s">
        <v>3</v>
      </c>
      <c r="K38" s="2" t="s">
        <v>3</v>
      </c>
    </row>
    <row r="39" spans="1:11" ht="12" x14ac:dyDescent="0.3">
      <c r="A39" s="1" t="s">
        <v>698</v>
      </c>
      <c r="B39" s="2" t="s">
        <v>3</v>
      </c>
      <c r="C39" s="3" t="s">
        <v>699</v>
      </c>
      <c r="D39" s="2" t="s">
        <v>3</v>
      </c>
      <c r="E39" s="3" t="s">
        <v>683</v>
      </c>
      <c r="F39" s="2" t="s">
        <v>3</v>
      </c>
      <c r="G39" s="2" t="s">
        <v>3</v>
      </c>
      <c r="H39" s="2" t="s">
        <v>3</v>
      </c>
      <c r="I39" s="2" t="s">
        <v>3</v>
      </c>
      <c r="J39" s="2" t="s">
        <v>3</v>
      </c>
      <c r="K39" s="2" t="s">
        <v>3</v>
      </c>
    </row>
    <row r="40" spans="1:11" ht="12" x14ac:dyDescent="0.3">
      <c r="A40" s="2" t="s">
        <v>3</v>
      </c>
      <c r="B40" s="2" t="s">
        <v>3</v>
      </c>
      <c r="C40" s="3" t="s">
        <v>695</v>
      </c>
    </row>
    <row r="41" spans="1:11" ht="12" x14ac:dyDescent="0.3">
      <c r="A41" s="2" t="s">
        <v>3</v>
      </c>
      <c r="B41" s="2" t="s">
        <v>3</v>
      </c>
      <c r="C41" s="2" t="s">
        <v>3</v>
      </c>
      <c r="D41" s="2" t="s">
        <v>3</v>
      </c>
      <c r="E41" s="2" t="s">
        <v>3</v>
      </c>
      <c r="F41" s="2" t="s">
        <v>3</v>
      </c>
      <c r="G41" s="2" t="s">
        <v>3</v>
      </c>
      <c r="H41" s="2" t="s">
        <v>3</v>
      </c>
      <c r="I41" s="2" t="s">
        <v>3</v>
      </c>
      <c r="J41" s="2" t="s">
        <v>3</v>
      </c>
      <c r="K41" s="2" t="s">
        <v>3</v>
      </c>
    </row>
    <row r="42" spans="1:11" ht="12" x14ac:dyDescent="0.3">
      <c r="A42" s="1" t="s">
        <v>700</v>
      </c>
      <c r="B42" s="2" t="s">
        <v>3</v>
      </c>
      <c r="C42" s="3" t="s">
        <v>701</v>
      </c>
      <c r="D42" s="2" t="s">
        <v>3</v>
      </c>
      <c r="E42" s="3" t="s">
        <v>683</v>
      </c>
      <c r="F42" s="2" t="s">
        <v>3</v>
      </c>
      <c r="G42" s="2" t="s">
        <v>3</v>
      </c>
      <c r="H42" s="2" t="s">
        <v>3</v>
      </c>
      <c r="I42" s="2" t="s">
        <v>3</v>
      </c>
      <c r="J42" s="2" t="s">
        <v>3</v>
      </c>
      <c r="K42" s="2" t="s">
        <v>3</v>
      </c>
    </row>
    <row r="43" spans="1:11" ht="12" x14ac:dyDescent="0.3">
      <c r="A43" s="2" t="s">
        <v>3</v>
      </c>
      <c r="B43" s="2" t="s">
        <v>3</v>
      </c>
      <c r="C43" s="3" t="s">
        <v>702</v>
      </c>
    </row>
    <row r="44" spans="1:11" ht="12" x14ac:dyDescent="0.3">
      <c r="A44" s="2" t="s">
        <v>3</v>
      </c>
    </row>
    <row r="45" spans="1:11" ht="12" x14ac:dyDescent="0.3">
      <c r="A45" s="1" t="s">
        <v>8</v>
      </c>
    </row>
    <row r="46" spans="1:11" ht="12" x14ac:dyDescent="0.3">
      <c r="A46" s="1" t="s">
        <v>9</v>
      </c>
    </row>
    <row r="47" spans="1:11" ht="12" x14ac:dyDescent="0.3">
      <c r="A47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E26"/>
  <sheetViews>
    <sheetView workbookViewId="0">
      <selection activeCell="H23" sqref="H23"/>
    </sheetView>
  </sheetViews>
  <sheetFormatPr defaultColWidth="10.3984375" defaultRowHeight="11.5" x14ac:dyDescent="0.25"/>
  <cols>
    <col min="1" max="1" width="43.796875" customWidth="1"/>
    <col min="2" max="2" width="9.09765625" customWidth="1"/>
    <col min="3" max="3" width="53.296875" customWidth="1"/>
    <col min="4" max="4" width="9.09765625" customWidth="1"/>
    <col min="5" max="5" width="49.796875" customWidth="1"/>
  </cols>
  <sheetData>
    <row r="1" spans="1:5" ht="12" x14ac:dyDescent="0.3">
      <c r="A1" s="1" t="s">
        <v>0</v>
      </c>
    </row>
    <row r="2" spans="1:5" ht="12" x14ac:dyDescent="0.3">
      <c r="A2" s="1" t="s">
        <v>1</v>
      </c>
    </row>
    <row r="3" spans="1:5" ht="12" x14ac:dyDescent="0.3">
      <c r="A3" s="1" t="s">
        <v>2</v>
      </c>
    </row>
    <row r="4" spans="1:5" ht="12" x14ac:dyDescent="0.3">
      <c r="A4" s="2" t="s">
        <v>3</v>
      </c>
    </row>
    <row r="5" spans="1:5" ht="12" x14ac:dyDescent="0.3">
      <c r="A5" s="1" t="s">
        <v>703</v>
      </c>
    </row>
    <row r="6" spans="1:5" ht="12" x14ac:dyDescent="0.3">
      <c r="A6" s="2" t="s">
        <v>3</v>
      </c>
    </row>
    <row r="7" spans="1:5" ht="12" x14ac:dyDescent="0.3">
      <c r="A7" s="2" t="s">
        <v>3</v>
      </c>
    </row>
    <row r="8" spans="1:5" ht="12" x14ac:dyDescent="0.3">
      <c r="A8" s="2" t="s">
        <v>3</v>
      </c>
    </row>
    <row r="9" spans="1:5" ht="12" x14ac:dyDescent="0.3">
      <c r="A9" s="2" t="s">
        <v>3</v>
      </c>
    </row>
    <row r="10" spans="1:5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</row>
    <row r="11" spans="1:5" ht="12" x14ac:dyDescent="0.3">
      <c r="A11" s="3" t="s">
        <v>704</v>
      </c>
      <c r="B11" s="2" t="s">
        <v>3</v>
      </c>
      <c r="C11" s="3" t="s">
        <v>705</v>
      </c>
      <c r="D11" s="2" t="s">
        <v>3</v>
      </c>
      <c r="E11" s="3" t="s">
        <v>706</v>
      </c>
    </row>
    <row r="12" spans="1:5" ht="12" x14ac:dyDescent="0.3">
      <c r="A12" s="2" t="s">
        <v>3</v>
      </c>
      <c r="B12" s="2" t="s">
        <v>3</v>
      </c>
      <c r="C12" s="3" t="s">
        <v>707</v>
      </c>
    </row>
    <row r="13" spans="1:5" ht="12" x14ac:dyDescent="0.3">
      <c r="A13" s="3" t="s">
        <v>708</v>
      </c>
      <c r="B13" s="2" t="s">
        <v>3</v>
      </c>
      <c r="C13" s="3" t="s">
        <v>709</v>
      </c>
      <c r="D13" s="2" t="s">
        <v>3</v>
      </c>
      <c r="E13" s="3" t="s">
        <v>708</v>
      </c>
    </row>
    <row r="14" spans="1:5" ht="12" x14ac:dyDescent="0.3">
      <c r="A14" s="3" t="s">
        <v>710</v>
      </c>
      <c r="B14" s="2" t="s">
        <v>3</v>
      </c>
      <c r="C14" s="3" t="s">
        <v>711</v>
      </c>
      <c r="D14" s="2" t="s">
        <v>3</v>
      </c>
      <c r="E14" s="3" t="s">
        <v>712</v>
      </c>
    </row>
    <row r="15" spans="1:5" ht="12" x14ac:dyDescent="0.3">
      <c r="A15" s="3" t="s">
        <v>713</v>
      </c>
      <c r="B15" s="2" t="s">
        <v>3</v>
      </c>
      <c r="C15" s="3" t="s">
        <v>714</v>
      </c>
      <c r="D15" s="2" t="s">
        <v>3</v>
      </c>
      <c r="E15" s="3" t="s">
        <v>713</v>
      </c>
    </row>
    <row r="16" spans="1:5" ht="12" x14ac:dyDescent="0.3">
      <c r="A16" s="3" t="s">
        <v>715</v>
      </c>
      <c r="B16" s="2" t="s">
        <v>3</v>
      </c>
      <c r="C16" s="3" t="s">
        <v>12</v>
      </c>
      <c r="D16" s="2" t="s">
        <v>3</v>
      </c>
      <c r="E16" s="3" t="s">
        <v>715</v>
      </c>
    </row>
    <row r="17" spans="1:5" ht="12" x14ac:dyDescent="0.3">
      <c r="A17" s="3" t="s">
        <v>716</v>
      </c>
      <c r="B17" s="2" t="s">
        <v>3</v>
      </c>
      <c r="C17" s="3" t="s">
        <v>717</v>
      </c>
      <c r="D17" s="2" t="s">
        <v>3</v>
      </c>
      <c r="E17" s="3" t="s">
        <v>718</v>
      </c>
    </row>
    <row r="18" spans="1:5" ht="12" x14ac:dyDescent="0.3">
      <c r="A18" s="3" t="s">
        <v>719</v>
      </c>
      <c r="B18" s="2" t="s">
        <v>3</v>
      </c>
      <c r="C18" s="3" t="s">
        <v>155</v>
      </c>
      <c r="D18" s="2" t="s">
        <v>3</v>
      </c>
      <c r="E18" s="3" t="s">
        <v>719</v>
      </c>
    </row>
    <row r="19" spans="1:5" ht="12" x14ac:dyDescent="0.3">
      <c r="A19" s="3" t="s">
        <v>720</v>
      </c>
      <c r="B19" s="2" t="s">
        <v>3</v>
      </c>
      <c r="C19" s="3" t="s">
        <v>154</v>
      </c>
      <c r="D19" s="2" t="s">
        <v>3</v>
      </c>
      <c r="E19" s="3" t="s">
        <v>720</v>
      </c>
    </row>
    <row r="20" spans="1:5" ht="12" x14ac:dyDescent="0.3">
      <c r="A20" s="3" t="s">
        <v>721</v>
      </c>
      <c r="B20" s="2" t="s">
        <v>3</v>
      </c>
      <c r="C20" s="3" t="s">
        <v>152</v>
      </c>
      <c r="D20" s="2" t="s">
        <v>3</v>
      </c>
      <c r="E20" s="3" t="s">
        <v>721</v>
      </c>
    </row>
    <row r="21" spans="1:5" ht="12" x14ac:dyDescent="0.3">
      <c r="A21" s="3" t="s">
        <v>722</v>
      </c>
      <c r="B21" s="2" t="s">
        <v>3</v>
      </c>
      <c r="C21" s="3" t="s">
        <v>153</v>
      </c>
      <c r="D21" s="2" t="s">
        <v>3</v>
      </c>
      <c r="E21" s="3" t="s">
        <v>722</v>
      </c>
    </row>
    <row r="22" spans="1:5" ht="12" x14ac:dyDescent="0.3">
      <c r="A22" s="2" t="s">
        <v>3</v>
      </c>
    </row>
    <row r="23" spans="1:5" ht="12" x14ac:dyDescent="0.3">
      <c r="A23" s="2" t="s">
        <v>3</v>
      </c>
    </row>
    <row r="24" spans="1:5" ht="12" x14ac:dyDescent="0.3">
      <c r="A24" s="1" t="s">
        <v>8</v>
      </c>
    </row>
    <row r="25" spans="1:5" ht="12" x14ac:dyDescent="0.3">
      <c r="A25" s="1" t="s">
        <v>9</v>
      </c>
    </row>
    <row r="26" spans="1:5" ht="12" x14ac:dyDescent="0.3">
      <c r="A26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1"/>
  <sheetViews>
    <sheetView topLeftCell="A8" workbookViewId="0">
      <selection activeCell="H14" sqref="H14:H26"/>
    </sheetView>
  </sheetViews>
  <sheetFormatPr defaultColWidth="10.3984375" defaultRowHeight="11.5" x14ac:dyDescent="0.25"/>
  <cols>
    <col min="1" max="1" width="35.5" customWidth="1"/>
    <col min="2" max="2" width="8.296875" customWidth="1"/>
    <col min="3" max="4" width="9.09765625" customWidth="1"/>
    <col min="5" max="5" width="8.296875" customWidth="1"/>
    <col min="6" max="7" width="9.09765625" customWidth="1"/>
    <col min="8" max="8" width="8.296875" customWidth="1"/>
    <col min="9" max="9" width="9.09765625" customWidth="1"/>
  </cols>
  <sheetData>
    <row r="1" spans="1:9" ht="12" x14ac:dyDescent="0.3">
      <c r="A1" s="1" t="s">
        <v>0</v>
      </c>
    </row>
    <row r="2" spans="1:9" ht="12" x14ac:dyDescent="0.3">
      <c r="A2" s="1" t="s">
        <v>1</v>
      </c>
    </row>
    <row r="3" spans="1:9" ht="12" x14ac:dyDescent="0.3">
      <c r="A3" s="1" t="s">
        <v>2</v>
      </c>
    </row>
    <row r="4" spans="1:9" ht="12" x14ac:dyDescent="0.3">
      <c r="A4" s="2" t="s">
        <v>3</v>
      </c>
    </row>
    <row r="5" spans="1:9" ht="12" x14ac:dyDescent="0.3">
      <c r="A5" s="1" t="s">
        <v>143</v>
      </c>
    </row>
    <row r="6" spans="1:9" ht="12" x14ac:dyDescent="0.3">
      <c r="A6" s="2" t="s">
        <v>3</v>
      </c>
    </row>
    <row r="7" spans="1:9" ht="12" x14ac:dyDescent="0.3">
      <c r="A7" s="2" t="s">
        <v>3</v>
      </c>
    </row>
    <row r="8" spans="1:9" ht="12" x14ac:dyDescent="0.3">
      <c r="A8" s="2" t="s">
        <v>3</v>
      </c>
    </row>
    <row r="9" spans="1:9" ht="12" x14ac:dyDescent="0.3">
      <c r="A9" s="2" t="s">
        <v>3</v>
      </c>
    </row>
    <row r="10" spans="1:9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</row>
    <row r="11" spans="1:9" ht="12" x14ac:dyDescent="0.3">
      <c r="A11" s="2" t="s">
        <v>3</v>
      </c>
      <c r="B11" s="3" t="s">
        <v>144</v>
      </c>
      <c r="D11" s="2" t="s">
        <v>3</v>
      </c>
      <c r="E11" s="3" t="s">
        <v>145</v>
      </c>
      <c r="G11" s="2" t="s">
        <v>3</v>
      </c>
      <c r="H11" s="3" t="s">
        <v>146</v>
      </c>
    </row>
    <row r="12" spans="1:9" ht="12" x14ac:dyDescent="0.3">
      <c r="A12" s="2" t="s">
        <v>3</v>
      </c>
      <c r="B12" s="3" t="s">
        <v>147</v>
      </c>
      <c r="D12" s="2" t="s">
        <v>3</v>
      </c>
      <c r="E12" s="3" t="s">
        <v>148</v>
      </c>
    </row>
    <row r="13" spans="1:9" ht="12" x14ac:dyDescent="0.3">
      <c r="A13" s="2" t="s">
        <v>3</v>
      </c>
      <c r="B13" s="2" t="s">
        <v>3</v>
      </c>
      <c r="C13" s="2" t="s">
        <v>3</v>
      </c>
      <c r="D13" s="2" t="s">
        <v>3</v>
      </c>
      <c r="E13" s="3" t="s">
        <v>149</v>
      </c>
    </row>
    <row r="14" spans="1:9" ht="12" x14ac:dyDescent="0.3">
      <c r="A14" s="3" t="s">
        <v>150</v>
      </c>
      <c r="B14" s="5">
        <v>437</v>
      </c>
      <c r="C14" s="2" t="s">
        <v>3</v>
      </c>
      <c r="D14" s="2" t="s">
        <v>3</v>
      </c>
      <c r="E14" s="5">
        <v>106</v>
      </c>
      <c r="F14" s="2" t="s">
        <v>3</v>
      </c>
      <c r="G14" s="2" t="s">
        <v>3</v>
      </c>
      <c r="H14" s="5">
        <v>543</v>
      </c>
      <c r="I14" s="2" t="s">
        <v>3</v>
      </c>
    </row>
    <row r="15" spans="1:9" ht="12" x14ac:dyDescent="0.3">
      <c r="A15" s="3" t="s">
        <v>151</v>
      </c>
      <c r="B15" s="5">
        <v>86</v>
      </c>
      <c r="C15" s="2" t="s">
        <v>3</v>
      </c>
      <c r="D15" s="2" t="s">
        <v>3</v>
      </c>
      <c r="E15" s="5">
        <v>14</v>
      </c>
      <c r="F15" s="2" t="s">
        <v>3</v>
      </c>
      <c r="G15" s="2" t="s">
        <v>3</v>
      </c>
      <c r="H15" s="5">
        <v>100</v>
      </c>
      <c r="I15" s="2" t="s">
        <v>3</v>
      </c>
    </row>
    <row r="16" spans="1:9" ht="12" x14ac:dyDescent="0.3">
      <c r="A16" s="3" t="s">
        <v>152</v>
      </c>
      <c r="B16" s="5">
        <v>38</v>
      </c>
      <c r="C16" s="2" t="s">
        <v>3</v>
      </c>
      <c r="D16" s="2" t="s">
        <v>3</v>
      </c>
      <c r="E16" s="5">
        <v>1</v>
      </c>
      <c r="F16" s="2" t="s">
        <v>3</v>
      </c>
      <c r="G16" s="2" t="s">
        <v>3</v>
      </c>
      <c r="H16" s="5">
        <v>39</v>
      </c>
      <c r="I16" s="2" t="s">
        <v>3</v>
      </c>
    </row>
    <row r="17" spans="1:9" ht="12" x14ac:dyDescent="0.3">
      <c r="A17" s="3" t="s">
        <v>153</v>
      </c>
      <c r="B17" s="5">
        <v>23</v>
      </c>
      <c r="C17" s="2" t="s">
        <v>3</v>
      </c>
      <c r="D17" s="2" t="s">
        <v>3</v>
      </c>
      <c r="E17" s="5">
        <v>6</v>
      </c>
      <c r="F17" s="2" t="s">
        <v>3</v>
      </c>
      <c r="G17" s="2" t="s">
        <v>3</v>
      </c>
      <c r="H17" s="5">
        <v>29</v>
      </c>
      <c r="I17" s="2" t="s">
        <v>3</v>
      </c>
    </row>
    <row r="18" spans="1:9" ht="12" x14ac:dyDescent="0.3">
      <c r="A18" s="3" t="s">
        <v>154</v>
      </c>
      <c r="B18" s="5">
        <v>13</v>
      </c>
      <c r="C18" s="2" t="s">
        <v>3</v>
      </c>
      <c r="D18" s="2" t="s">
        <v>3</v>
      </c>
      <c r="E18" s="5">
        <v>13</v>
      </c>
      <c r="F18" s="2" t="s">
        <v>3</v>
      </c>
      <c r="G18" s="2" t="s">
        <v>3</v>
      </c>
      <c r="H18" s="5">
        <v>26</v>
      </c>
      <c r="I18" s="2" t="s">
        <v>3</v>
      </c>
    </row>
    <row r="19" spans="1:9" ht="12" x14ac:dyDescent="0.3">
      <c r="A19" s="3" t="s">
        <v>155</v>
      </c>
      <c r="B19" s="5">
        <v>12</v>
      </c>
      <c r="C19" s="2" t="s">
        <v>3</v>
      </c>
      <c r="D19" s="2" t="s">
        <v>3</v>
      </c>
      <c r="E19" s="5">
        <v>4</v>
      </c>
      <c r="F19" s="2" t="s">
        <v>3</v>
      </c>
      <c r="G19" s="2" t="s">
        <v>3</v>
      </c>
      <c r="H19" s="5">
        <v>16</v>
      </c>
      <c r="I19" s="2" t="s">
        <v>3</v>
      </c>
    </row>
    <row r="20" spans="1:9" ht="12" x14ac:dyDescent="0.3">
      <c r="A20" s="3" t="s">
        <v>156</v>
      </c>
      <c r="B20" s="3" t="s">
        <v>157</v>
      </c>
      <c r="C20" s="2" t="s">
        <v>3</v>
      </c>
      <c r="D20" s="2" t="s">
        <v>3</v>
      </c>
      <c r="E20" s="5">
        <v>13</v>
      </c>
      <c r="F20" s="2" t="s">
        <v>3</v>
      </c>
      <c r="G20" s="2" t="s">
        <v>3</v>
      </c>
      <c r="H20" s="5">
        <v>13</v>
      </c>
      <c r="I20" s="2" t="s">
        <v>3</v>
      </c>
    </row>
    <row r="21" spans="1:9" ht="12" x14ac:dyDescent="0.3">
      <c r="A21" s="3" t="s">
        <v>158</v>
      </c>
      <c r="B21" s="5">
        <v>8</v>
      </c>
      <c r="C21" s="2" t="s">
        <v>3</v>
      </c>
      <c r="D21" s="2" t="s">
        <v>3</v>
      </c>
      <c r="E21" s="5">
        <v>3</v>
      </c>
      <c r="F21" s="2" t="s">
        <v>3</v>
      </c>
      <c r="G21" s="2" t="s">
        <v>3</v>
      </c>
      <c r="H21" s="5">
        <v>11</v>
      </c>
      <c r="I21" s="2" t="s">
        <v>3</v>
      </c>
    </row>
    <row r="22" spans="1:9" ht="12" x14ac:dyDescent="0.3">
      <c r="A22" s="3" t="s">
        <v>159</v>
      </c>
      <c r="B22" s="5">
        <v>2</v>
      </c>
      <c r="C22" s="2" t="s">
        <v>3</v>
      </c>
      <c r="D22" s="2" t="s">
        <v>3</v>
      </c>
      <c r="E22" s="3" t="s">
        <v>157</v>
      </c>
      <c r="F22" s="2" t="s">
        <v>3</v>
      </c>
      <c r="G22" s="2" t="s">
        <v>3</v>
      </c>
      <c r="H22" s="5">
        <v>2</v>
      </c>
      <c r="I22" s="2" t="s">
        <v>3</v>
      </c>
    </row>
    <row r="23" spans="1:9" ht="12" x14ac:dyDescent="0.3">
      <c r="A23" s="3" t="s">
        <v>160</v>
      </c>
      <c r="B23" s="3" t="s">
        <v>157</v>
      </c>
      <c r="C23" s="2" t="s">
        <v>3</v>
      </c>
      <c r="D23" s="2" t="s">
        <v>3</v>
      </c>
      <c r="E23" s="5">
        <v>1</v>
      </c>
      <c r="F23" s="2" t="s">
        <v>3</v>
      </c>
      <c r="G23" s="2" t="s">
        <v>3</v>
      </c>
      <c r="H23" s="5">
        <v>1</v>
      </c>
      <c r="I23" s="2" t="s">
        <v>3</v>
      </c>
    </row>
    <row r="24" spans="1:9" ht="12" x14ac:dyDescent="0.3">
      <c r="A24" s="3" t="s">
        <v>161</v>
      </c>
      <c r="B24" s="5">
        <v>1</v>
      </c>
      <c r="C24" s="2" t="s">
        <v>3</v>
      </c>
      <c r="D24" s="2" t="s">
        <v>3</v>
      </c>
      <c r="E24" s="3" t="s">
        <v>157</v>
      </c>
      <c r="F24" s="2" t="s">
        <v>3</v>
      </c>
      <c r="G24" s="2" t="s">
        <v>3</v>
      </c>
      <c r="H24" s="5">
        <v>1</v>
      </c>
      <c r="I24" s="2" t="s">
        <v>3</v>
      </c>
    </row>
    <row r="25" spans="1:9" ht="12" x14ac:dyDescent="0.3">
      <c r="A25" s="3" t="s">
        <v>162</v>
      </c>
      <c r="B25" s="3" t="s">
        <v>157</v>
      </c>
      <c r="C25" s="2" t="s">
        <v>3</v>
      </c>
      <c r="D25" s="2" t="s">
        <v>3</v>
      </c>
      <c r="E25" s="5">
        <v>1</v>
      </c>
      <c r="F25" s="2" t="s">
        <v>3</v>
      </c>
      <c r="G25" s="2" t="s">
        <v>3</v>
      </c>
      <c r="H25" s="5">
        <v>1</v>
      </c>
      <c r="I25" s="2" t="s">
        <v>3</v>
      </c>
    </row>
    <row r="26" spans="1:9" ht="12" x14ac:dyDescent="0.3">
      <c r="A26" s="1" t="s">
        <v>146</v>
      </c>
      <c r="B26" s="5">
        <v>620</v>
      </c>
      <c r="C26" s="2" t="s">
        <v>3</v>
      </c>
      <c r="D26" s="2" t="s">
        <v>3</v>
      </c>
      <c r="E26" s="5">
        <v>162</v>
      </c>
      <c r="F26" s="2" t="s">
        <v>3</v>
      </c>
      <c r="G26" s="2" t="s">
        <v>3</v>
      </c>
      <c r="H26" s="5">
        <v>782</v>
      </c>
      <c r="I26" s="2" t="s">
        <v>3</v>
      </c>
    </row>
    <row r="27" spans="1:9" ht="12" x14ac:dyDescent="0.3">
      <c r="A27" s="2" t="s">
        <v>3</v>
      </c>
    </row>
    <row r="28" spans="1:9" ht="12" x14ac:dyDescent="0.3">
      <c r="A28" s="2" t="s">
        <v>3</v>
      </c>
    </row>
    <row r="29" spans="1:9" ht="12" x14ac:dyDescent="0.3">
      <c r="A29" s="1" t="s">
        <v>8</v>
      </c>
    </row>
    <row r="30" spans="1:9" ht="12" x14ac:dyDescent="0.3">
      <c r="A30" s="1" t="s">
        <v>9</v>
      </c>
    </row>
    <row r="31" spans="1:9" ht="12" x14ac:dyDescent="0.3">
      <c r="A31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4"/>
  <sheetViews>
    <sheetView workbookViewId="0">
      <selection activeCell="J21" sqref="J21"/>
    </sheetView>
  </sheetViews>
  <sheetFormatPr defaultColWidth="10.3984375" defaultRowHeight="11.5" x14ac:dyDescent="0.25"/>
  <cols>
    <col min="1" max="1" width="41.3984375" customWidth="1"/>
    <col min="2" max="2" width="8.296875" customWidth="1"/>
    <col min="3" max="4" width="9.09765625" customWidth="1"/>
    <col min="5" max="5" width="7.09765625" customWidth="1"/>
    <col min="6" max="7" width="9.09765625" customWidth="1"/>
    <col min="8" max="8" width="8.296875" customWidth="1"/>
    <col min="9" max="10" width="9.09765625" customWidth="1"/>
    <col min="11" max="11" width="8.296875" customWidth="1"/>
    <col min="12" max="13" width="9.09765625" customWidth="1"/>
    <col min="14" max="14" width="8.296875" customWidth="1"/>
    <col min="15" max="15" width="9.09765625" customWidth="1"/>
  </cols>
  <sheetData>
    <row r="1" spans="1:15" ht="12" x14ac:dyDescent="0.3">
      <c r="A1" s="1" t="s">
        <v>0</v>
      </c>
    </row>
    <row r="2" spans="1:15" ht="12" x14ac:dyDescent="0.3">
      <c r="A2" s="1" t="s">
        <v>1</v>
      </c>
    </row>
    <row r="3" spans="1:15" ht="12" x14ac:dyDescent="0.3">
      <c r="A3" s="1" t="s">
        <v>2</v>
      </c>
    </row>
    <row r="4" spans="1:15" ht="12" x14ac:dyDescent="0.3">
      <c r="A4" s="2" t="s">
        <v>3</v>
      </c>
    </row>
    <row r="5" spans="1:15" ht="12" x14ac:dyDescent="0.3">
      <c r="A5" s="1" t="s">
        <v>143</v>
      </c>
    </row>
    <row r="6" spans="1:15" ht="12" x14ac:dyDescent="0.3">
      <c r="A6" s="2" t="s">
        <v>3</v>
      </c>
    </row>
    <row r="7" spans="1:15" ht="12" x14ac:dyDescent="0.3">
      <c r="A7" s="2" t="s">
        <v>3</v>
      </c>
    </row>
    <row r="8" spans="1:15" ht="12" x14ac:dyDescent="0.3">
      <c r="A8" s="2" t="s">
        <v>3</v>
      </c>
    </row>
    <row r="9" spans="1:15" ht="12" x14ac:dyDescent="0.3">
      <c r="A9" s="2" t="s">
        <v>3</v>
      </c>
    </row>
    <row r="10" spans="1:15" ht="12" x14ac:dyDescent="0.3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  <c r="M10" s="2" t="s">
        <v>3</v>
      </c>
      <c r="N10" s="2" t="s">
        <v>3</v>
      </c>
      <c r="O10" s="2" t="s">
        <v>3</v>
      </c>
    </row>
    <row r="11" spans="1:15" ht="12" x14ac:dyDescent="0.3">
      <c r="A11" s="2" t="s">
        <v>3</v>
      </c>
      <c r="B11" s="3" t="s">
        <v>262</v>
      </c>
      <c r="D11" s="2" t="s">
        <v>3</v>
      </c>
      <c r="E11" s="3" t="s">
        <v>151</v>
      </c>
      <c r="G11" s="2" t="s">
        <v>3</v>
      </c>
      <c r="H11" s="3" t="s">
        <v>242</v>
      </c>
      <c r="J11" s="2" t="s">
        <v>3</v>
      </c>
      <c r="K11" s="3" t="s">
        <v>146</v>
      </c>
      <c r="M11" s="2" t="s">
        <v>3</v>
      </c>
      <c r="N11" s="3" t="s">
        <v>263</v>
      </c>
    </row>
    <row r="12" spans="1:15" ht="12" x14ac:dyDescent="0.3">
      <c r="A12" s="2" t="s">
        <v>3</v>
      </c>
      <c r="B12" s="2" t="s">
        <v>3</v>
      </c>
      <c r="C12" s="2" t="s">
        <v>3</v>
      </c>
      <c r="D12" s="2" t="s">
        <v>3</v>
      </c>
      <c r="E12" s="2" t="s">
        <v>3</v>
      </c>
      <c r="F12" s="2" t="s">
        <v>3</v>
      </c>
      <c r="G12" s="2" t="s">
        <v>3</v>
      </c>
      <c r="H12" s="3" t="s">
        <v>264</v>
      </c>
      <c r="J12" s="2" t="s">
        <v>3</v>
      </c>
      <c r="K12" s="2" t="s">
        <v>3</v>
      </c>
      <c r="L12" s="2" t="s">
        <v>3</v>
      </c>
      <c r="M12" s="2" t="s">
        <v>3</v>
      </c>
      <c r="N12" s="3" t="s">
        <v>265</v>
      </c>
    </row>
    <row r="13" spans="1:15" ht="12" x14ac:dyDescent="0.3">
      <c r="A13" s="3" t="s">
        <v>266</v>
      </c>
      <c r="B13" s="5">
        <v>480</v>
      </c>
      <c r="C13" s="2" t="s">
        <v>3</v>
      </c>
      <c r="D13" s="2" t="s">
        <v>3</v>
      </c>
      <c r="E13" s="5">
        <v>89</v>
      </c>
      <c r="F13" s="2" t="s">
        <v>3</v>
      </c>
      <c r="G13" s="2" t="s">
        <v>3</v>
      </c>
      <c r="H13" s="5">
        <v>117</v>
      </c>
      <c r="I13" s="2" t="s">
        <v>3</v>
      </c>
      <c r="J13" s="2" t="s">
        <v>3</v>
      </c>
      <c r="K13" s="5">
        <v>686</v>
      </c>
      <c r="L13" s="2" t="s">
        <v>3</v>
      </c>
      <c r="M13" s="2" t="s">
        <v>3</v>
      </c>
      <c r="N13" s="5">
        <v>686</v>
      </c>
      <c r="O13" s="2" t="s">
        <v>3</v>
      </c>
    </row>
    <row r="14" spans="1:15" ht="12" x14ac:dyDescent="0.3">
      <c r="A14" s="4">
        <v>2016</v>
      </c>
      <c r="B14" s="5">
        <v>21</v>
      </c>
      <c r="C14" s="2" t="s">
        <v>3</v>
      </c>
      <c r="D14" s="2" t="s">
        <v>3</v>
      </c>
      <c r="E14" s="5">
        <v>2</v>
      </c>
      <c r="F14" s="2" t="s">
        <v>3</v>
      </c>
      <c r="G14" s="2" t="s">
        <v>3</v>
      </c>
      <c r="H14" s="5">
        <v>6</v>
      </c>
      <c r="I14" s="2" t="s">
        <v>3</v>
      </c>
      <c r="J14" s="2" t="s">
        <v>3</v>
      </c>
      <c r="K14" s="5">
        <v>29</v>
      </c>
      <c r="L14" s="2" t="s">
        <v>3</v>
      </c>
      <c r="M14" s="2" t="s">
        <v>3</v>
      </c>
      <c r="N14" s="5">
        <v>715</v>
      </c>
      <c r="O14" s="2" t="s">
        <v>3</v>
      </c>
    </row>
    <row r="15" spans="1:15" ht="12" x14ac:dyDescent="0.3">
      <c r="A15" s="4">
        <v>2017</v>
      </c>
      <c r="B15" s="5">
        <v>13</v>
      </c>
      <c r="C15" s="2" t="s">
        <v>3</v>
      </c>
      <c r="D15" s="2" t="s">
        <v>3</v>
      </c>
      <c r="E15" s="5">
        <v>6</v>
      </c>
      <c r="F15" s="2" t="s">
        <v>3</v>
      </c>
      <c r="G15" s="2" t="s">
        <v>3</v>
      </c>
      <c r="H15" s="5">
        <v>7</v>
      </c>
      <c r="I15" s="2" t="s">
        <v>3</v>
      </c>
      <c r="J15" s="2" t="s">
        <v>3</v>
      </c>
      <c r="K15" s="5">
        <v>26</v>
      </c>
      <c r="L15" s="2" t="s">
        <v>3</v>
      </c>
      <c r="M15" s="2" t="s">
        <v>3</v>
      </c>
      <c r="N15" s="5">
        <v>741</v>
      </c>
      <c r="O15" s="2" t="s">
        <v>3</v>
      </c>
    </row>
    <row r="16" spans="1:15" ht="12" x14ac:dyDescent="0.3">
      <c r="A16" s="4">
        <v>2018</v>
      </c>
      <c r="B16" s="5">
        <v>13</v>
      </c>
      <c r="C16" s="2" t="s">
        <v>3</v>
      </c>
      <c r="D16" s="2" t="s">
        <v>3</v>
      </c>
      <c r="E16" s="5">
        <v>3</v>
      </c>
      <c r="F16" s="2" t="s">
        <v>3</v>
      </c>
      <c r="G16" s="2" t="s">
        <v>3</v>
      </c>
      <c r="H16" s="5">
        <v>5</v>
      </c>
      <c r="I16" s="2" t="s">
        <v>3</v>
      </c>
      <c r="J16" s="2" t="s">
        <v>3</v>
      </c>
      <c r="K16" s="5">
        <v>21</v>
      </c>
      <c r="L16" s="2" t="s">
        <v>3</v>
      </c>
      <c r="M16" s="2" t="s">
        <v>3</v>
      </c>
      <c r="N16" s="5">
        <v>762</v>
      </c>
      <c r="O16" s="2" t="s">
        <v>3</v>
      </c>
    </row>
    <row r="17" spans="1:15" ht="12" x14ac:dyDescent="0.3">
      <c r="A17" s="4">
        <v>2019</v>
      </c>
      <c r="B17" s="5">
        <v>16</v>
      </c>
      <c r="C17" s="2" t="s">
        <v>3</v>
      </c>
      <c r="D17" s="2" t="s">
        <v>3</v>
      </c>
      <c r="E17" s="3" t="s">
        <v>157</v>
      </c>
      <c r="F17" s="2" t="s">
        <v>3</v>
      </c>
      <c r="G17" s="2" t="s">
        <v>3</v>
      </c>
      <c r="H17" s="5">
        <v>4</v>
      </c>
      <c r="I17" s="2" t="s">
        <v>3</v>
      </c>
      <c r="J17" s="2" t="s">
        <v>3</v>
      </c>
      <c r="K17" s="5">
        <v>20</v>
      </c>
      <c r="L17" s="2" t="s">
        <v>3</v>
      </c>
      <c r="M17" s="2" t="s">
        <v>3</v>
      </c>
      <c r="N17" s="5">
        <v>782</v>
      </c>
      <c r="O17" s="2" t="s">
        <v>3</v>
      </c>
    </row>
    <row r="18" spans="1:15" ht="12" x14ac:dyDescent="0.3">
      <c r="A18" s="3" t="s">
        <v>267</v>
      </c>
      <c r="B18" s="5">
        <v>3</v>
      </c>
      <c r="C18" s="2" t="s">
        <v>3</v>
      </c>
      <c r="D18" s="2" t="s">
        <v>3</v>
      </c>
      <c r="E18" s="3" t="s">
        <v>157</v>
      </c>
      <c r="F18" s="2" t="s">
        <v>3</v>
      </c>
      <c r="G18" s="2" t="s">
        <v>3</v>
      </c>
      <c r="H18" s="3" t="s">
        <v>157</v>
      </c>
      <c r="I18" s="2" t="s">
        <v>3</v>
      </c>
      <c r="J18" s="2" t="s">
        <v>3</v>
      </c>
      <c r="K18" s="5">
        <v>3</v>
      </c>
      <c r="L18" s="2" t="s">
        <v>3</v>
      </c>
      <c r="M18" s="2" t="s">
        <v>3</v>
      </c>
      <c r="N18" s="5">
        <v>785</v>
      </c>
      <c r="O18" s="2" t="s">
        <v>3</v>
      </c>
    </row>
    <row r="19" spans="1:15" ht="12" x14ac:dyDescent="0.3">
      <c r="A19" s="1" t="s">
        <v>146</v>
      </c>
      <c r="B19" s="5">
        <v>546</v>
      </c>
      <c r="C19" s="2" t="s">
        <v>3</v>
      </c>
      <c r="D19" s="2" t="s">
        <v>3</v>
      </c>
      <c r="E19" s="5">
        <v>100</v>
      </c>
      <c r="F19" s="2" t="s">
        <v>3</v>
      </c>
      <c r="G19" s="2" t="s">
        <v>3</v>
      </c>
      <c r="H19" s="5">
        <v>139</v>
      </c>
      <c r="I19" s="2" t="s">
        <v>3</v>
      </c>
      <c r="J19" s="2" t="s">
        <v>3</v>
      </c>
      <c r="K19" s="5">
        <v>785</v>
      </c>
      <c r="L19" s="2" t="s">
        <v>3</v>
      </c>
      <c r="M19" s="2" t="s">
        <v>3</v>
      </c>
      <c r="N19" s="2" t="s">
        <v>3</v>
      </c>
    </row>
    <row r="20" spans="1:15" ht="12" x14ac:dyDescent="0.3">
      <c r="A20" s="2" t="s">
        <v>3</v>
      </c>
    </row>
    <row r="21" spans="1:15" ht="12" x14ac:dyDescent="0.3">
      <c r="A21" s="2" t="s">
        <v>3</v>
      </c>
    </row>
    <row r="22" spans="1:15" ht="12" x14ac:dyDescent="0.3">
      <c r="A22" s="1" t="s">
        <v>8</v>
      </c>
    </row>
    <row r="23" spans="1:15" ht="12" x14ac:dyDescent="0.3">
      <c r="A23" s="1" t="s">
        <v>9</v>
      </c>
    </row>
    <row r="24" spans="1:15" ht="12" x14ac:dyDescent="0.3">
      <c r="A24" s="1" t="s">
        <v>10</v>
      </c>
    </row>
  </sheetData>
  <pageMargins left="0.39370100000000002" right="0.39370100000000002" top="0.39370100000000002" bottom="0.39370100000000002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 tint="0.14999847407452621"/>
  </sheetPr>
  <dimension ref="B4"/>
  <sheetViews>
    <sheetView showGridLines="0" tabSelected="1" zoomScale="110" zoomScaleNormal="110" workbookViewId="0">
      <selection activeCell="B4" sqref="B4"/>
    </sheetView>
  </sheetViews>
  <sheetFormatPr defaultRowHeight="11.5" x14ac:dyDescent="0.25"/>
  <sheetData>
    <row r="4" spans="2:2" ht="31.5" x14ac:dyDescent="0.65">
      <c r="B4" s="192" t="s">
        <v>873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63</vt:i4>
      </vt:variant>
    </vt:vector>
  </HeadingPairs>
  <TitlesOfParts>
    <vt:vector size="63" baseType="lpstr">
      <vt:lpstr>FORM 10K</vt:lpstr>
      <vt:lpstr>Costco Wholesale Corporation</vt:lpstr>
      <vt:lpstr>TABLE OF CONTENTS</vt:lpstr>
      <vt:lpstr>Membership</vt:lpstr>
      <vt:lpstr>Labor</vt:lpstr>
      <vt:lpstr>Information about our Executive</vt:lpstr>
      <vt:lpstr>Warehouse Properties</vt:lpstr>
      <vt:lpstr>Warehouse Properties (1)</vt:lpstr>
      <vt:lpstr>Cover</vt:lpstr>
      <vt:lpstr>Business</vt:lpstr>
      <vt:lpstr>Projections -&gt;</vt:lpstr>
      <vt:lpstr>Revenue, Cost, WC</vt:lpstr>
      <vt:lpstr>CapEx</vt:lpstr>
      <vt:lpstr>Debt</vt:lpstr>
      <vt:lpstr>Model Fin Stmts -&gt;</vt:lpstr>
      <vt:lpstr>Balance Sheet</vt:lpstr>
      <vt:lpstr>Income Stmt</vt:lpstr>
      <vt:lpstr>Cash Flow - FCFE</vt:lpstr>
      <vt:lpstr>Cash Flow - FCFF</vt:lpstr>
      <vt:lpstr>Beta</vt:lpstr>
      <vt:lpstr>Return</vt:lpstr>
      <vt:lpstr>CONSOLIDATED STATEMENTS OF INCO</vt:lpstr>
      <vt:lpstr>Issuer Purchases of Equity Secu</vt:lpstr>
      <vt:lpstr>RESULTS OF OPERATIONS</vt:lpstr>
      <vt:lpstr>Net Sales</vt:lpstr>
      <vt:lpstr>Membership Fees</vt:lpstr>
      <vt:lpstr>Gross Margin</vt:lpstr>
      <vt:lpstr>Selling General and Administrat</vt:lpstr>
      <vt:lpstr>Preopening</vt:lpstr>
      <vt:lpstr>Interest Income and Other Net</vt:lpstr>
      <vt:lpstr>Provision for Income Taxes</vt:lpstr>
      <vt:lpstr>LIQUIDITY AND CAPITAL RESOURCES</vt:lpstr>
      <vt:lpstr>Contractual Obligations</vt:lpstr>
      <vt:lpstr>CONSOLIDATED STATEMENTS OF COMP</vt:lpstr>
      <vt:lpstr>CONSOLIDATED STATEMENTS OF EQUI</vt:lpstr>
      <vt:lpstr>Cash Flow Stmt</vt:lpstr>
      <vt:lpstr>Merchandise Inventories</vt:lpstr>
      <vt:lpstr>Recent Accounting Pronouncement</vt:lpstr>
      <vt:lpstr>Note 2 Investments</vt:lpstr>
      <vt:lpstr>Note 2 Investments (1)</vt:lpstr>
      <vt:lpstr>Note 2 Investments (2)</vt:lpstr>
      <vt:lpstr>Assets and Liabilities Measured</vt:lpstr>
      <vt:lpstr>Assets and Liabilities Meas (1)</vt:lpstr>
      <vt:lpstr>LongTerm Debt</vt:lpstr>
      <vt:lpstr>LongTerm Debt (1)</vt:lpstr>
      <vt:lpstr>Capital and BuildtoSuit Leases</vt:lpstr>
      <vt:lpstr>Stock Repurchase Programs</vt:lpstr>
      <vt:lpstr>Summary of Restricted Stock Uni</vt:lpstr>
      <vt:lpstr>Summary of StockBased Compensat</vt:lpstr>
      <vt:lpstr>Income Taxes</vt:lpstr>
      <vt:lpstr>Income Taxes (1)</vt:lpstr>
      <vt:lpstr>Income Taxes (2)</vt:lpstr>
      <vt:lpstr>Income Taxes (3)</vt:lpstr>
      <vt:lpstr>Income Taxes (4)</vt:lpstr>
      <vt:lpstr>Note 9 Net Income per Common an</vt:lpstr>
      <vt:lpstr>Note 11 Segment Reporting</vt:lpstr>
      <vt:lpstr>Disaggregated Revenue</vt:lpstr>
      <vt:lpstr>Note 12 Quarterly Financial Dat</vt:lpstr>
      <vt:lpstr>Note 12 Quarterly Financial (1)</vt:lpstr>
      <vt:lpstr>Item 15 Exhibits Financial Stat</vt:lpstr>
      <vt:lpstr>Item 15 Exhibits Financial  (1)</vt:lpstr>
      <vt:lpstr>Item 15 Exhibits Financial  (2)</vt:lpstr>
      <vt:lpstr>SUBSIDIARIES OF THE COMPANY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Rastogi, Gautam</dc:creator>
  <cp:lastModifiedBy>Rastogi, Gautam</cp:lastModifiedBy>
  <dcterms:created xsi:type="dcterms:W3CDTF">2020-06-04T15:47:10Z</dcterms:created>
  <dcterms:modified xsi:type="dcterms:W3CDTF">2020-06-13T01:02:48Z</dcterms:modified>
</cp:coreProperties>
</file>